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ml.chartshapes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8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9.xml" ContentType="application/vnd.openxmlformats-officedocument.drawing+xml"/>
  <Override PartName="/xl/charts/chart20.xml" ContentType="application/vnd.openxmlformats-officedocument.drawingml.chart+xml"/>
  <Override PartName="/xl/drawings/drawing10.xml" ContentType="application/vnd.openxmlformats-officedocument.drawing+xml"/>
  <Override PartName="/xl/charts/chart2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2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2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3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3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3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nko\Documents\Pecar-UK.com 1 dec 16\"/>
    </mc:Choice>
  </mc:AlternateContent>
  <bookViews>
    <workbookView xWindow="0" yWindow="120" windowWidth="19152" windowHeight="8472"/>
  </bookViews>
  <sheets>
    <sheet name="6.1.1-4" sheetId="1" r:id="rId1"/>
    <sheet name="6.2.1" sheetId="2" r:id="rId2"/>
    <sheet name="6.3.1-5" sheetId="3" r:id="rId3"/>
    <sheet name="6.3.6-9" sheetId="29" r:id="rId4"/>
    <sheet name="6.5.7" sheetId="13" r:id="rId5"/>
    <sheet name="6.5.8-9" sheetId="4" r:id="rId6"/>
    <sheet name="6.6.1.1-5" sheetId="5" r:id="rId7"/>
    <sheet name="6.6.3.2-5" sheetId="22" r:id="rId8"/>
    <sheet name="6.6.4.1-2" sheetId="6" r:id="rId9"/>
    <sheet name="6.6.5.1-5" sheetId="24" r:id="rId10"/>
    <sheet name="6.6.6.1-3" sheetId="18" r:id="rId11"/>
    <sheet name="6.7.1-3" sheetId="25" r:id="rId12"/>
    <sheet name="6.7.4, 6.7.2.1-2" sheetId="28" r:id="rId13"/>
    <sheet name="6.7.5" sheetId="20" r:id="rId14"/>
    <sheet name="6.7.1.4-9" sheetId="12" r:id="rId15"/>
  </sheets>
  <calcPr calcId="171027"/>
</workbook>
</file>

<file path=xl/calcChain.xml><?xml version="1.0" encoding="utf-8"?>
<calcChain xmlns="http://schemas.openxmlformats.org/spreadsheetml/2006/main">
  <c r="H7" i="29" l="1"/>
  <c r="H8" i="29"/>
  <c r="H9" i="29"/>
  <c r="H10" i="29"/>
  <c r="H11" i="29"/>
  <c r="H12" i="29"/>
  <c r="H13" i="29"/>
  <c r="H14" i="29"/>
  <c r="H15" i="29"/>
  <c r="H16" i="29"/>
  <c r="H17" i="29"/>
  <c r="H18" i="29"/>
  <c r="H19" i="29"/>
  <c r="H20" i="29"/>
  <c r="H21" i="29"/>
  <c r="H22" i="29"/>
  <c r="H23" i="29"/>
  <c r="H24" i="29"/>
  <c r="H25" i="29"/>
  <c r="H26" i="29"/>
  <c r="H27" i="29"/>
  <c r="H28" i="29"/>
  <c r="H29" i="29"/>
  <c r="H30" i="29"/>
  <c r="H31" i="29"/>
  <c r="H32" i="29"/>
  <c r="H33" i="29"/>
  <c r="H34" i="29"/>
  <c r="H35" i="29"/>
  <c r="H36" i="29"/>
  <c r="H37" i="29"/>
  <c r="H38" i="29"/>
  <c r="H39" i="29"/>
  <c r="H40" i="29"/>
  <c r="H41" i="29"/>
  <c r="H42" i="29"/>
  <c r="H43" i="29"/>
  <c r="H44" i="29"/>
  <c r="H45" i="29"/>
  <c r="H46" i="29"/>
  <c r="H47" i="29"/>
  <c r="H48" i="29"/>
  <c r="H49" i="29"/>
  <c r="H50" i="29"/>
  <c r="H51" i="29"/>
  <c r="H52" i="29"/>
  <c r="H53" i="29"/>
  <c r="H54" i="29"/>
  <c r="H55" i="29"/>
  <c r="H56" i="29"/>
  <c r="H57" i="29"/>
  <c r="H58" i="29"/>
  <c r="H59" i="29"/>
  <c r="H60" i="29"/>
  <c r="H61" i="29"/>
  <c r="H62" i="29"/>
  <c r="H63" i="29"/>
  <c r="E7" i="29"/>
  <c r="E8" i="29"/>
  <c r="E9" i="29"/>
  <c r="E10" i="29"/>
  <c r="E11" i="29"/>
  <c r="E12" i="29"/>
  <c r="E13" i="29"/>
  <c r="E14" i="29"/>
  <c r="E15" i="29"/>
  <c r="E16" i="29"/>
  <c r="E17" i="29"/>
  <c r="E18" i="29"/>
  <c r="E19" i="29"/>
  <c r="E20" i="29"/>
  <c r="E21" i="29"/>
  <c r="E22" i="29"/>
  <c r="E23" i="29"/>
  <c r="E24" i="29"/>
  <c r="E25" i="29"/>
  <c r="E26" i="29"/>
  <c r="E27" i="29"/>
  <c r="E28" i="29"/>
  <c r="E29" i="29"/>
  <c r="E30" i="29"/>
  <c r="E31" i="29"/>
  <c r="E32" i="29"/>
  <c r="E33" i="29"/>
  <c r="E34" i="29"/>
  <c r="E35" i="29"/>
  <c r="E36" i="29"/>
  <c r="E37" i="29"/>
  <c r="E38" i="29"/>
  <c r="E39" i="29"/>
  <c r="E40" i="29"/>
  <c r="E41" i="29"/>
  <c r="E42" i="29"/>
  <c r="E43" i="29"/>
  <c r="E44" i="29"/>
  <c r="E45" i="29"/>
  <c r="E46" i="29"/>
  <c r="E47" i="29"/>
  <c r="E48" i="29"/>
  <c r="E49" i="29"/>
  <c r="E50" i="29"/>
  <c r="E51" i="29"/>
  <c r="E52" i="29"/>
  <c r="E53" i="29"/>
  <c r="E54" i="29"/>
  <c r="E55" i="29"/>
  <c r="E56" i="29"/>
  <c r="E57" i="29"/>
  <c r="E58" i="29"/>
  <c r="E59" i="29"/>
  <c r="E60" i="29"/>
  <c r="E61" i="29"/>
  <c r="E62" i="29"/>
  <c r="E63" i="29"/>
  <c r="H6" i="29"/>
  <c r="E6" i="29"/>
  <c r="D4" i="29"/>
  <c r="H4" i="29"/>
  <c r="G4" i="29"/>
  <c r="C21" i="20" l="1"/>
  <c r="C22" i="20"/>
  <c r="C23" i="20"/>
  <c r="C24" i="20"/>
  <c r="C25" i="20"/>
  <c r="C26" i="20"/>
  <c r="C27" i="20"/>
  <c r="D16" i="20" s="1"/>
  <c r="C28" i="20"/>
  <c r="D3" i="20" s="1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7" i="20"/>
  <c r="C6" i="20"/>
  <c r="C5" i="20"/>
  <c r="D4" i="20"/>
  <c r="C4" i="20"/>
  <c r="C3" i="20"/>
  <c r="D19" i="20" l="1"/>
  <c r="D5" i="20"/>
  <c r="E7" i="20" s="1"/>
  <c r="G7" i="20" s="1"/>
  <c r="D18" i="20"/>
  <c r="D11" i="20"/>
  <c r="D6" i="20"/>
  <c r="D17" i="20"/>
  <c r="D7" i="20"/>
  <c r="D20" i="20"/>
  <c r="E4" i="20"/>
  <c r="F4" i="20" s="1"/>
  <c r="D14" i="20"/>
  <c r="D9" i="20"/>
  <c r="D12" i="20"/>
  <c r="D15" i="20"/>
  <c r="D10" i="20"/>
  <c r="D13" i="20"/>
  <c r="D8" i="20"/>
  <c r="E3" i="20"/>
  <c r="E5" i="20"/>
  <c r="E6" i="20" l="1"/>
  <c r="E8" i="20"/>
  <c r="G8" i="20" s="1"/>
  <c r="G4" i="20"/>
  <c r="F7" i="20"/>
  <c r="E15" i="20"/>
  <c r="F15" i="20" s="1"/>
  <c r="E13" i="20"/>
  <c r="E12" i="20"/>
  <c r="E14" i="20"/>
  <c r="E10" i="20"/>
  <c r="E9" i="20"/>
  <c r="E11" i="20"/>
  <c r="E18" i="20"/>
  <c r="E17" i="20"/>
  <c r="E20" i="20"/>
  <c r="E16" i="20"/>
  <c r="E19" i="20"/>
  <c r="F5" i="20"/>
  <c r="G5" i="20"/>
  <c r="G3" i="20"/>
  <c r="F3" i="20"/>
  <c r="G6" i="20"/>
  <c r="F6" i="20"/>
  <c r="F8" i="20" l="1"/>
  <c r="G15" i="20"/>
  <c r="F11" i="20"/>
  <c r="G11" i="20"/>
  <c r="F9" i="20"/>
  <c r="G9" i="20"/>
  <c r="F10" i="20"/>
  <c r="G10" i="20"/>
  <c r="F19" i="20"/>
  <c r="G19" i="20"/>
  <c r="F14" i="20"/>
  <c r="G14" i="20"/>
  <c r="F18" i="20"/>
  <c r="G18" i="20"/>
  <c r="F16" i="20"/>
  <c r="G16" i="20"/>
  <c r="G20" i="20"/>
  <c r="F20" i="20"/>
  <c r="F13" i="20"/>
  <c r="G13" i="20"/>
  <c r="G12" i="20"/>
  <c r="F12" i="20"/>
  <c r="F17" i="20"/>
  <c r="G17" i="20"/>
  <c r="H56" i="12" l="1"/>
  <c r="G56" i="12"/>
  <c r="H55" i="12" l="1"/>
  <c r="G55" i="12"/>
  <c r="J4" i="24" l="1"/>
  <c r="J5" i="24"/>
  <c r="J6" i="24"/>
  <c r="J7" i="24"/>
  <c r="J8" i="24"/>
  <c r="J9" i="24"/>
  <c r="J10" i="24"/>
  <c r="J11" i="24"/>
  <c r="J12" i="24"/>
  <c r="J13" i="24"/>
  <c r="J14" i="24"/>
  <c r="J15" i="24"/>
  <c r="J16" i="24"/>
  <c r="J17" i="24"/>
  <c r="J3" i="24"/>
  <c r="I7" i="18" a="1"/>
  <c r="I7" i="18" s="1"/>
  <c r="I8" i="18" a="1"/>
  <c r="I8" i="18" s="1"/>
  <c r="H19" i="24"/>
  <c r="G21" i="24"/>
  <c r="F19" i="24"/>
  <c r="E19" i="24"/>
  <c r="D19" i="24"/>
  <c r="D3" i="24"/>
  <c r="E10" i="24"/>
  <c r="F7" i="24"/>
  <c r="D5" i="24"/>
  <c r="G19" i="24"/>
  <c r="E1" i="24"/>
  <c r="D1" i="24"/>
  <c r="C17" i="24"/>
  <c r="C16" i="24"/>
  <c r="C15" i="24"/>
  <c r="C14" i="24"/>
  <c r="C13" i="24"/>
  <c r="C12" i="24"/>
  <c r="F12" i="24" s="1"/>
  <c r="C11" i="24"/>
  <c r="F11" i="24" s="1"/>
  <c r="C10" i="24"/>
  <c r="F10" i="24" s="1"/>
  <c r="C9" i="24"/>
  <c r="F9" i="24" s="1"/>
  <c r="C8" i="24"/>
  <c r="F8" i="24" s="1"/>
  <c r="C7" i="24"/>
  <c r="E7" i="24" s="1"/>
  <c r="C6" i="24"/>
  <c r="F6" i="24" s="1"/>
  <c r="C5" i="24"/>
  <c r="F5" i="24" s="1"/>
  <c r="C4" i="24"/>
  <c r="F4" i="24" s="1"/>
  <c r="C3" i="24"/>
  <c r="F3" i="24" s="1"/>
  <c r="L1" i="24"/>
  <c r="I1" i="24"/>
  <c r="B19" i="24"/>
  <c r="D10" i="24" s="1"/>
  <c r="A19" i="24"/>
  <c r="H4" i="24" s="1"/>
  <c r="E5" i="24" l="1"/>
  <c r="D8" i="24"/>
  <c r="E8" i="24"/>
  <c r="D11" i="24"/>
  <c r="E3" i="24"/>
  <c r="D6" i="24"/>
  <c r="E11" i="24"/>
  <c r="E6" i="24"/>
  <c r="D9" i="24"/>
  <c r="D4" i="24"/>
  <c r="E9" i="24"/>
  <c r="D12" i="24"/>
  <c r="E4" i="24"/>
  <c r="D7" i="24"/>
  <c r="E12" i="24"/>
  <c r="H10" i="24"/>
  <c r="H16" i="24"/>
  <c r="H11" i="24"/>
  <c r="H17" i="24"/>
  <c r="H9" i="24"/>
  <c r="H15" i="24"/>
  <c r="H8" i="24"/>
  <c r="H14" i="24"/>
  <c r="H13" i="24"/>
  <c r="H6" i="24"/>
  <c r="H3" i="24"/>
  <c r="H5" i="24"/>
  <c r="H7" i="24"/>
  <c r="H12" i="24"/>
  <c r="I3" i="24" l="1"/>
  <c r="K3" i="24" l="1"/>
  <c r="L3" i="24"/>
  <c r="I9" i="24"/>
  <c r="I12" i="24"/>
  <c r="I17" i="24"/>
  <c r="I15" i="24"/>
  <c r="I13" i="24"/>
  <c r="I6" i="24"/>
  <c r="I11" i="24"/>
  <c r="I8" i="24"/>
  <c r="I16" i="24"/>
  <c r="I10" i="24"/>
  <c r="I4" i="24"/>
  <c r="I7" i="24"/>
  <c r="I14" i="24"/>
  <c r="I5" i="24"/>
  <c r="L13" i="24" l="1"/>
  <c r="K13" i="24"/>
  <c r="K7" i="24"/>
  <c r="L7" i="24"/>
  <c r="K15" i="24"/>
  <c r="L15" i="24"/>
  <c r="K4" i="24"/>
  <c r="L4" i="24"/>
  <c r="L17" i="24"/>
  <c r="K17" i="24"/>
  <c r="K10" i="24"/>
  <c r="L10" i="24"/>
  <c r="K12" i="24"/>
  <c r="L12" i="24"/>
  <c r="L16" i="24"/>
  <c r="K16" i="24"/>
  <c r="L9" i="24"/>
  <c r="K9" i="24"/>
  <c r="L5" i="24"/>
  <c r="K5" i="24"/>
  <c r="K8" i="24"/>
  <c r="L8" i="24"/>
  <c r="K6" i="24"/>
  <c r="L6" i="24"/>
  <c r="L14" i="24"/>
  <c r="K14" i="24"/>
  <c r="K11" i="24"/>
  <c r="L11" i="24"/>
  <c r="G18" i="12"/>
  <c r="C54" i="12"/>
  <c r="B54" i="12"/>
  <c r="G50" i="12"/>
  <c r="B1" i="6"/>
  <c r="H3" i="5"/>
  <c r="H4" i="5"/>
  <c r="H5" i="5"/>
  <c r="H6" i="5"/>
  <c r="H7" i="5"/>
  <c r="H8" i="5"/>
  <c r="H9" i="5"/>
  <c r="H10" i="5"/>
  <c r="H11" i="5"/>
  <c r="H2" i="5"/>
  <c r="I23" i="5" s="1"/>
  <c r="C41" i="5" s="1"/>
  <c r="D41" i="5" s="1"/>
  <c r="H18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3" i="12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" i="12"/>
  <c r="I3" i="18" l="1"/>
  <c r="I4" i="18"/>
  <c r="C16" i="18"/>
  <c r="C15" i="18"/>
  <c r="I6" i="18"/>
  <c r="E16" i="18" s="1"/>
  <c r="C14" i="18"/>
  <c r="C13" i="18"/>
  <c r="C12" i="18"/>
  <c r="C11" i="18"/>
  <c r="C10" i="18"/>
  <c r="E9" i="18"/>
  <c r="C9" i="18"/>
  <c r="C8" i="18"/>
  <c r="C7" i="18"/>
  <c r="C6" i="18"/>
  <c r="E5" i="18"/>
  <c r="C5" i="18"/>
  <c r="C4" i="18"/>
  <c r="C3" i="18"/>
  <c r="C2" i="18"/>
  <c r="D2" i="18" s="1"/>
  <c r="E15" i="6"/>
  <c r="E14" i="6" s="1"/>
  <c r="AL3" i="3"/>
  <c r="AL4" i="3"/>
  <c r="AL5" i="3"/>
  <c r="AL6" i="3"/>
  <c r="AL7" i="3"/>
  <c r="AL8" i="3"/>
  <c r="AL9" i="3"/>
  <c r="AL10" i="3"/>
  <c r="AL11" i="3"/>
  <c r="AL12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25" i="3"/>
  <c r="AL26" i="3"/>
  <c r="AL2" i="3"/>
  <c r="AA3" i="3"/>
  <c r="AA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" i="3"/>
  <c r="C51" i="12"/>
  <c r="B51" i="12"/>
  <c r="C50" i="12"/>
  <c r="B50" i="12"/>
  <c r="C49" i="12"/>
  <c r="B49" i="12"/>
  <c r="C48" i="12"/>
  <c r="B48" i="12"/>
  <c r="C47" i="12"/>
  <c r="B47" i="12"/>
  <c r="C46" i="12"/>
  <c r="B46" i="12"/>
  <c r="C45" i="12"/>
  <c r="B45" i="12"/>
  <c r="C44" i="12"/>
  <c r="B44" i="12"/>
  <c r="C43" i="12"/>
  <c r="B43" i="12"/>
  <c r="C42" i="12"/>
  <c r="B42" i="12"/>
  <c r="C41" i="12"/>
  <c r="B41" i="12"/>
  <c r="C40" i="12"/>
  <c r="B40" i="12"/>
  <c r="C39" i="12"/>
  <c r="B39" i="12"/>
  <c r="C38" i="12"/>
  <c r="B38" i="12"/>
  <c r="C37" i="12"/>
  <c r="B37" i="12"/>
  <c r="C36" i="12"/>
  <c r="B36" i="12"/>
  <c r="C35" i="12"/>
  <c r="B35" i="12"/>
  <c r="C34" i="12"/>
  <c r="B34" i="12"/>
  <c r="C33" i="12"/>
  <c r="B33" i="12"/>
  <c r="C32" i="12"/>
  <c r="B32" i="12"/>
  <c r="C31" i="12"/>
  <c r="B31" i="12"/>
  <c r="C30" i="12"/>
  <c r="B30" i="12"/>
  <c r="C29" i="12"/>
  <c r="B29" i="12"/>
  <c r="C28" i="12"/>
  <c r="B28" i="12"/>
  <c r="C27" i="12"/>
  <c r="B27" i="12"/>
  <c r="C26" i="12"/>
  <c r="B26" i="12"/>
  <c r="C25" i="12"/>
  <c r="B25" i="12"/>
  <c r="C24" i="12"/>
  <c r="B24" i="12"/>
  <c r="C23" i="12"/>
  <c r="B23" i="12"/>
  <c r="C22" i="12"/>
  <c r="B22" i="12"/>
  <c r="C21" i="12"/>
  <c r="B21" i="12"/>
  <c r="C20" i="12"/>
  <c r="B20" i="12"/>
  <c r="C19" i="12"/>
  <c r="B19" i="12"/>
  <c r="C18" i="12"/>
  <c r="B18" i="12"/>
  <c r="C17" i="12"/>
  <c r="B17" i="12"/>
  <c r="C16" i="12"/>
  <c r="B16" i="12"/>
  <c r="C15" i="12"/>
  <c r="B15" i="12"/>
  <c r="C14" i="12"/>
  <c r="B14" i="12"/>
  <c r="C13" i="12"/>
  <c r="B13" i="12"/>
  <c r="C12" i="12"/>
  <c r="B12" i="12"/>
  <c r="C11" i="12"/>
  <c r="B11" i="12"/>
  <c r="C10" i="12"/>
  <c r="B10" i="12"/>
  <c r="C9" i="12"/>
  <c r="B9" i="12"/>
  <c r="C8" i="12"/>
  <c r="B8" i="12"/>
  <c r="C7" i="12"/>
  <c r="B7" i="12"/>
  <c r="C6" i="12"/>
  <c r="B6" i="12"/>
  <c r="C5" i="12"/>
  <c r="B5" i="12"/>
  <c r="C4" i="12"/>
  <c r="B4" i="12"/>
  <c r="C3" i="12"/>
  <c r="B3" i="12"/>
  <c r="B2" i="12"/>
  <c r="C12" i="6"/>
  <c r="C11" i="6"/>
  <c r="C10" i="6"/>
  <c r="C9" i="6"/>
  <c r="C8" i="6"/>
  <c r="C7" i="6"/>
  <c r="C6" i="6"/>
  <c r="C5" i="6"/>
  <c r="C4" i="6"/>
  <c r="C3" i="6"/>
  <c r="G1" i="6"/>
  <c r="G34" i="5"/>
  <c r="K32" i="5"/>
  <c r="I32" i="5"/>
  <c r="K31" i="5"/>
  <c r="I31" i="5"/>
  <c r="I30" i="5"/>
  <c r="I29" i="5"/>
  <c r="K28" i="5"/>
  <c r="J28" i="5"/>
  <c r="J27" i="5"/>
  <c r="D27" i="5"/>
  <c r="C27" i="5"/>
  <c r="K25" i="5"/>
  <c r="I25" i="5"/>
  <c r="K24" i="5"/>
  <c r="I24" i="5"/>
  <c r="A12" i="5"/>
  <c r="E11" i="5"/>
  <c r="E10" i="5"/>
  <c r="E9" i="5"/>
  <c r="E8" i="5"/>
  <c r="E7" i="5"/>
  <c r="E6" i="5"/>
  <c r="E5" i="5"/>
  <c r="E4" i="5"/>
  <c r="E3" i="5"/>
  <c r="D3" i="5"/>
  <c r="F11" i="5" s="1"/>
  <c r="E2" i="5"/>
  <c r="D2" i="5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  <c r="L11" i="3"/>
  <c r="L10" i="3"/>
  <c r="L9" i="3"/>
  <c r="L8" i="3"/>
  <c r="O7" i="3"/>
  <c r="O8" i="3" s="1"/>
  <c r="L7" i="3"/>
  <c r="L6" i="3"/>
  <c r="L5" i="3"/>
  <c r="L4" i="3"/>
  <c r="L3" i="3"/>
  <c r="L2" i="3"/>
  <c r="E16" i="1"/>
  <c r="B16" i="1"/>
  <c r="E15" i="1"/>
  <c r="B15" i="1"/>
  <c r="E14" i="1"/>
  <c r="B14" i="1"/>
  <c r="E13" i="1"/>
  <c r="B13" i="1"/>
  <c r="E12" i="1"/>
  <c r="B12" i="1"/>
  <c r="E11" i="1"/>
  <c r="B11" i="1"/>
  <c r="E10" i="1"/>
  <c r="B10" i="1"/>
  <c r="E9" i="1"/>
  <c r="B9" i="1"/>
  <c r="E8" i="1"/>
  <c r="B8" i="1"/>
  <c r="E7" i="1"/>
  <c r="B7" i="1"/>
  <c r="E6" i="1"/>
  <c r="B6" i="1"/>
  <c r="E5" i="1"/>
  <c r="B5" i="1"/>
  <c r="E4" i="1"/>
  <c r="B4" i="1"/>
  <c r="E3" i="1"/>
  <c r="B3" i="1"/>
  <c r="E2" i="1"/>
  <c r="B2" i="1"/>
  <c r="C52" i="12" l="1"/>
  <c r="E2" i="18"/>
  <c r="E6" i="18"/>
  <c r="E10" i="18"/>
  <c r="E3" i="18"/>
  <c r="E7" i="18"/>
  <c r="E12" i="18"/>
  <c r="E4" i="18"/>
  <c r="E8" i="18"/>
  <c r="F2" i="5"/>
  <c r="E12" i="5"/>
  <c r="B52" i="12"/>
  <c r="E11" i="18"/>
  <c r="E13" i="18"/>
  <c r="E14" i="18"/>
  <c r="E15" i="18"/>
  <c r="D3" i="18"/>
  <c r="D4" i="18"/>
  <c r="D5" i="18"/>
  <c r="D6" i="18"/>
  <c r="D7" i="18"/>
  <c r="D8" i="18"/>
  <c r="D9" i="18"/>
  <c r="D10" i="18"/>
  <c r="D11" i="18"/>
  <c r="D3" i="6"/>
  <c r="D5" i="6"/>
  <c r="D7" i="6"/>
  <c r="D9" i="6"/>
  <c r="D11" i="6"/>
  <c r="D4" i="6"/>
  <c r="D6" i="6"/>
  <c r="D8" i="6"/>
  <c r="D10" i="6"/>
  <c r="D12" i="6"/>
  <c r="C40" i="5"/>
  <c r="F3" i="5"/>
  <c r="F4" i="5"/>
  <c r="F5" i="5"/>
  <c r="F6" i="5"/>
  <c r="F7" i="5"/>
  <c r="F8" i="5"/>
  <c r="F9" i="5"/>
  <c r="F10" i="5"/>
  <c r="I26" i="5"/>
  <c r="I27" i="5" l="1"/>
  <c r="I28" i="5" s="1"/>
  <c r="K27" i="5"/>
  <c r="F50" i="12"/>
  <c r="I5" i="18"/>
  <c r="D13" i="6"/>
  <c r="D14" i="6" s="1"/>
  <c r="D15" i="6" s="1"/>
  <c r="L27" i="5"/>
  <c r="K4" i="18" l="1"/>
  <c r="F15" i="18" s="1"/>
  <c r="F6" i="6"/>
  <c r="F10" i="6"/>
  <c r="E4" i="6"/>
  <c r="E6" i="6"/>
  <c r="E8" i="6"/>
  <c r="E10" i="6"/>
  <c r="E12" i="6"/>
  <c r="E3" i="6"/>
  <c r="E5" i="6"/>
  <c r="E7" i="6"/>
  <c r="E9" i="6"/>
  <c r="E11" i="6"/>
  <c r="F4" i="6"/>
  <c r="F8" i="6"/>
  <c r="F12" i="6"/>
  <c r="F3" i="6"/>
  <c r="F5" i="6"/>
  <c r="F7" i="6"/>
  <c r="F9" i="6"/>
  <c r="F11" i="6"/>
  <c r="F12" i="18" l="1"/>
  <c r="G12" i="18" s="1"/>
  <c r="F8" i="18"/>
  <c r="H8" i="18" s="1"/>
  <c r="F4" i="18"/>
  <c r="G4" i="18" s="1"/>
  <c r="F13" i="18"/>
  <c r="G13" i="18" s="1"/>
  <c r="F9" i="18"/>
  <c r="G9" i="18" s="1"/>
  <c r="F2" i="18"/>
  <c r="G15" i="18"/>
  <c r="H15" i="18"/>
  <c r="F14" i="18"/>
  <c r="G14" i="18" s="1"/>
  <c r="F10" i="18"/>
  <c r="G10" i="18" s="1"/>
  <c r="F6" i="18"/>
  <c r="G6" i="18" s="1"/>
  <c r="F3" i="18"/>
  <c r="F11" i="18"/>
  <c r="G11" i="18" s="1"/>
  <c r="F7" i="18"/>
  <c r="H7" i="18" s="1"/>
  <c r="F5" i="18"/>
  <c r="H5" i="18" s="1"/>
  <c r="F16" i="18"/>
  <c r="H16" i="18" s="1"/>
  <c r="H3" i="18"/>
  <c r="G3" i="18"/>
  <c r="H13" i="18"/>
  <c r="H14" i="18" l="1"/>
  <c r="H6" i="18"/>
  <c r="H4" i="18"/>
  <c r="G8" i="18"/>
  <c r="H10" i="18"/>
  <c r="H12" i="18"/>
  <c r="H9" i="18"/>
  <c r="G16" i="18"/>
  <c r="G7" i="18"/>
  <c r="H11" i="18"/>
  <c r="G5" i="18"/>
  <c r="G2" i="18"/>
  <c r="H2" i="18"/>
</calcChain>
</file>

<file path=xl/sharedStrings.xml><?xml version="1.0" encoding="utf-8"?>
<sst xmlns="http://schemas.openxmlformats.org/spreadsheetml/2006/main" count="332" uniqueCount="212">
  <si>
    <t>Period</t>
  </si>
  <si>
    <t>Series</t>
  </si>
  <si>
    <t>Pattern</t>
  </si>
  <si>
    <t>Residuals</t>
  </si>
  <si>
    <t>Date</t>
  </si>
  <si>
    <t>MSFT</t>
  </si>
  <si>
    <t>y = -0.9677x + 91.397</t>
  </si>
  <si>
    <t>Linear</t>
  </si>
  <si>
    <t>Logarithmic</t>
  </si>
  <si>
    <t>Power</t>
  </si>
  <si>
    <r>
      <t>y = 118.92x</t>
    </r>
    <r>
      <rPr>
        <vertAlign val="superscript"/>
        <sz val="10"/>
        <rFont val="Arial"/>
        <family val="2"/>
      </rPr>
      <t>-0.2029</t>
    </r>
  </si>
  <si>
    <t>Exponential</t>
  </si>
  <si>
    <r>
      <t>y = 93.617e</t>
    </r>
    <r>
      <rPr>
        <vertAlign val="superscript"/>
        <sz val="10"/>
        <rFont val="Arial"/>
        <family val="2"/>
      </rPr>
      <t>-0.0148x</t>
    </r>
  </si>
  <si>
    <t>Polynomial 2</t>
  </si>
  <si>
    <r>
      <t>y = 0.0151x</t>
    </r>
    <r>
      <rPr>
        <vertAlign val="superscript"/>
        <sz val="10"/>
        <rFont val="Arial"/>
        <family val="2"/>
      </rPr>
      <t>2</t>
    </r>
    <r>
      <rPr>
        <sz val="11"/>
        <color theme="1"/>
        <rFont val="Calibri"/>
        <family val="2"/>
        <scheme val="minor"/>
      </rPr>
      <t xml:space="preserve"> - 1.7413x + 98.101</t>
    </r>
  </si>
  <si>
    <t>Polynomial 3</t>
  </si>
  <si>
    <r>
      <t>y = 0.0008x</t>
    </r>
    <r>
      <rPr>
        <vertAlign val="superscript"/>
        <sz val="10"/>
        <rFont val="Arial"/>
        <family val="2"/>
      </rPr>
      <t>3</t>
    </r>
    <r>
      <rPr>
        <sz val="11"/>
        <color theme="1"/>
        <rFont val="Calibri"/>
        <family val="2"/>
        <scheme val="minor"/>
      </rPr>
      <t xml:space="preserve"> - 0.0428x</t>
    </r>
    <r>
      <rPr>
        <vertAlign val="superscript"/>
        <sz val="10"/>
        <rFont val="Arial"/>
        <family val="2"/>
      </rPr>
      <t>2</t>
    </r>
    <r>
      <rPr>
        <sz val="11"/>
        <color theme="1"/>
        <rFont val="Calibri"/>
        <family val="2"/>
        <scheme val="minor"/>
      </rPr>
      <t xml:space="preserve"> - 0.6416x + 93.564</t>
    </r>
  </si>
  <si>
    <t>Polynomial 6</t>
  </si>
  <si>
    <r>
      <t>y = 5E-07x</t>
    </r>
    <r>
      <rPr>
        <vertAlign val="superscript"/>
        <sz val="10"/>
        <rFont val="Arial"/>
        <family val="2"/>
      </rPr>
      <t>6</t>
    </r>
    <r>
      <rPr>
        <sz val="11"/>
        <color theme="1"/>
        <rFont val="Calibri"/>
        <family val="2"/>
        <scheme val="minor"/>
      </rPr>
      <t xml:space="preserve"> - 6E-05x</t>
    </r>
    <r>
      <rPr>
        <vertAlign val="superscript"/>
        <sz val="10"/>
        <rFont val="Arial"/>
        <family val="2"/>
      </rPr>
      <t>5</t>
    </r>
    <r>
      <rPr>
        <sz val="11"/>
        <color theme="1"/>
        <rFont val="Calibri"/>
        <family val="2"/>
        <scheme val="minor"/>
      </rPr>
      <t xml:space="preserve"> + 0.0017x</t>
    </r>
    <r>
      <rPr>
        <vertAlign val="superscript"/>
        <sz val="10"/>
        <rFont val="Arial"/>
        <family val="2"/>
      </rPr>
      <t>4</t>
    </r>
    <r>
      <rPr>
        <sz val="11"/>
        <color theme="1"/>
        <rFont val="Calibri"/>
        <family val="2"/>
        <scheme val="minor"/>
      </rPr>
      <t xml:space="preserve"> + 0.004x</t>
    </r>
    <r>
      <rPr>
        <vertAlign val="superscript"/>
        <sz val="10"/>
        <rFont val="Arial"/>
        <family val="2"/>
      </rPr>
      <t>3</t>
    </r>
    <r>
      <rPr>
        <sz val="11"/>
        <color theme="1"/>
        <rFont val="Calibri"/>
        <family val="2"/>
        <scheme val="minor"/>
      </rPr>
      <t xml:space="preserve"> - 0.9322x</t>
    </r>
    <r>
      <rPr>
        <vertAlign val="superscript"/>
        <sz val="10"/>
        <rFont val="Arial"/>
        <family val="2"/>
      </rPr>
      <t>2</t>
    </r>
    <r>
      <rPr>
        <sz val="11"/>
        <color theme="1"/>
        <rFont val="Calibri"/>
        <family val="2"/>
        <scheme val="minor"/>
      </rPr>
      <t xml:space="preserve"> + 10.266x + 66.143</t>
    </r>
  </si>
  <si>
    <t>X Data</t>
  </si>
  <si>
    <t>Y Data</t>
  </si>
  <si>
    <t>Curve fit Data</t>
  </si>
  <si>
    <t>Residual Table:</t>
  </si>
  <si>
    <t>Trend</t>
  </si>
  <si>
    <t>CurveExpert 1.3:  Richards Model</t>
  </si>
  <si>
    <t>Standard Error:</t>
  </si>
  <si>
    <t>Correlation Coefficient:</t>
  </si>
  <si>
    <t>Weighting Scheme: Unknown</t>
  </si>
  <si>
    <t>X Data Min:</t>
  </si>
  <si>
    <t>X Data Max:</t>
  </si>
  <si>
    <t>X Data Mean:</t>
  </si>
  <si>
    <t>X Data Standard Deviation:</t>
  </si>
  <si>
    <t>Y Data Min:</t>
  </si>
  <si>
    <t>Y Data Max:</t>
  </si>
  <si>
    <t>Y Data Mean:</t>
  </si>
  <si>
    <t>Y Data Standard Deviation:</t>
  </si>
  <si>
    <t>Richards Model, y=a/(1+exp(b-cx)^(1/d))</t>
  </si>
  <si>
    <t>a:</t>
  </si>
  <si>
    <t>b:</t>
  </si>
  <si>
    <t>c:</t>
  </si>
  <si>
    <t>d:</t>
  </si>
  <si>
    <t>Revenue (X)</t>
  </si>
  <si>
    <t>Profit (Y)</t>
  </si>
  <si>
    <t>x^2</t>
  </si>
  <si>
    <t>a=</t>
  </si>
  <si>
    <t>b=</t>
  </si>
  <si>
    <t>F</t>
  </si>
  <si>
    <t>SUMMARY OUTPUT</t>
  </si>
  <si>
    <t>Regression Statistics</t>
  </si>
  <si>
    <t>SSR=</t>
  </si>
  <si>
    <t>MSR=</t>
  </si>
  <si>
    <t>Multiple R</t>
  </si>
  <si>
    <t>SSE=</t>
  </si>
  <si>
    <t>MSE=</t>
  </si>
  <si>
    <t>R Square</t>
  </si>
  <si>
    <t>SST=</t>
  </si>
  <si>
    <t>Adjusted R Square</t>
  </si>
  <si>
    <r>
      <t>R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=</t>
    </r>
  </si>
  <si>
    <t>Standard Error</t>
  </si>
  <si>
    <t>R=</t>
  </si>
  <si>
    <t>Observations</t>
  </si>
  <si>
    <t>F=</t>
  </si>
  <si>
    <t>ANOVA</t>
  </si>
  <si>
    <t>F-test=</t>
  </si>
  <si>
    <t>?</t>
  </si>
  <si>
    <t>df</t>
  </si>
  <si>
    <t>SS</t>
  </si>
  <si>
    <t>MS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</si>
  <si>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</si>
  <si>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</si>
  <si>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</si>
  <si>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</si>
  <si>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</si>
  <si>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</si>
  <si>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</si>
  <si>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</si>
  <si>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</si>
  <si>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</si>
  <si>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</si>
  <si>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Intercept</t>
  </si>
  <si>
    <t>RESIDUAL OUTPUT</t>
  </si>
  <si>
    <t>PROBABILITY OUTPUT</t>
  </si>
  <si>
    <t>Observation</t>
  </si>
  <si>
    <t>Predicted Profit (Y)</t>
  </si>
  <si>
    <t>Standard Residuals</t>
  </si>
  <si>
    <t>Percentile</t>
  </si>
  <si>
    <t>t-value=</t>
  </si>
  <si>
    <t>alpha=</t>
  </si>
  <si>
    <t>D.F.=</t>
  </si>
  <si>
    <t>Period (X)</t>
  </si>
  <si>
    <t>Interval +</t>
  </si>
  <si>
    <t>Interval -</t>
  </si>
  <si>
    <t xml:space="preserve">confidence </t>
  </si>
  <si>
    <t>interval in %</t>
  </si>
  <si>
    <t>=StandardError=STEYX(Y,X)</t>
  </si>
  <si>
    <t>=SE</t>
  </si>
  <si>
    <t>=alpha</t>
  </si>
  <si>
    <t>=degrees of freedom</t>
  </si>
  <si>
    <t>=t-value</t>
  </si>
  <si>
    <t>SE(Y)</t>
  </si>
  <si>
    <t>SUM</t>
  </si>
  <si>
    <r>
      <t>d</t>
    </r>
    <r>
      <rPr>
        <vertAlign val="subscript"/>
        <sz val="10"/>
        <rFont val="Arial"/>
        <family val="2"/>
      </rPr>
      <t>c</t>
    </r>
    <r>
      <rPr>
        <sz val="11"/>
        <color theme="1"/>
        <rFont val="Calibri"/>
        <family val="2"/>
        <scheme val="minor"/>
      </rPr>
      <t>=</t>
    </r>
  </si>
  <si>
    <t>n=</t>
  </si>
  <si>
    <t>k=</t>
  </si>
  <si>
    <r>
      <t>d</t>
    </r>
    <r>
      <rPr>
        <vertAlign val="subscript"/>
        <sz val="10"/>
        <rFont val="Arial"/>
        <family val="2"/>
      </rPr>
      <t>L</t>
    </r>
    <r>
      <rPr>
        <sz val="11"/>
        <color theme="1"/>
        <rFont val="Calibri"/>
        <family val="2"/>
        <scheme val="minor"/>
      </rPr>
      <t>=</t>
    </r>
  </si>
  <si>
    <r>
      <t>d</t>
    </r>
    <r>
      <rPr>
        <vertAlign val="subscript"/>
        <sz val="10"/>
        <rFont val="Arial"/>
        <family val="2"/>
      </rPr>
      <t>U</t>
    </r>
    <r>
      <rPr>
        <sz val="11"/>
        <color theme="1"/>
        <rFont val="Calibri"/>
        <family val="2"/>
        <scheme val="minor"/>
      </rPr>
      <t>=</t>
    </r>
  </si>
  <si>
    <t>x</t>
  </si>
  <si>
    <t>Mod Exp</t>
  </si>
  <si>
    <r>
      <t>Y=k+ab</t>
    </r>
    <r>
      <rPr>
        <vertAlign val="superscript"/>
        <sz val="11"/>
        <color theme="1"/>
        <rFont val="Calibri"/>
        <family val="2"/>
        <scheme val="minor"/>
      </rPr>
      <t>x</t>
    </r>
  </si>
  <si>
    <t>k</t>
  </si>
  <si>
    <t>a</t>
  </si>
  <si>
    <t>b</t>
  </si>
  <si>
    <r>
      <t>y=1/(k+ab</t>
    </r>
    <r>
      <rPr>
        <vertAlign val="super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)</t>
    </r>
  </si>
  <si>
    <t>Logistic</t>
  </si>
  <si>
    <t>CurveExpert 1.4:  Richards Model</t>
  </si>
  <si>
    <t>Richards Model, y=a/(1+exp(b-cx))^(1/d)</t>
  </si>
  <si>
    <t>Richards Model: y=a/(1+exp(b-cx))^(1/d)</t>
  </si>
  <si>
    <t>RMS=</t>
  </si>
  <si>
    <r>
      <t>=SE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=MSE</t>
    </r>
  </si>
  <si>
    <r>
      <t>Error</t>
    </r>
    <r>
      <rPr>
        <b/>
        <vertAlign val="superscript"/>
        <sz val="11"/>
        <rFont val="Calibri"/>
        <family val="2"/>
        <scheme val="minor"/>
      </rPr>
      <t>2</t>
    </r>
  </si>
  <si>
    <r>
      <t>Trend (</t>
    </r>
    <r>
      <rPr>
        <b/>
        <sz val="11"/>
        <rFont val="Calibri"/>
        <family val="2"/>
      </rPr>
      <t>ŷ</t>
    </r>
    <r>
      <rPr>
        <b/>
        <sz val="11"/>
        <rFont val="Calibri"/>
        <family val="2"/>
        <scheme val="minor"/>
      </rPr>
      <t>)</t>
    </r>
  </si>
  <si>
    <r>
      <t>(X-</t>
    </r>
    <r>
      <rPr>
        <b/>
        <sz val="11"/>
        <rFont val="Symbol"/>
        <family val="1"/>
        <charset val="2"/>
      </rPr>
      <t>m</t>
    </r>
    <r>
      <rPr>
        <b/>
        <sz val="11"/>
        <rFont val="Calibri"/>
        <family val="2"/>
        <scheme val="minor"/>
      </rPr>
      <t>)</t>
    </r>
    <r>
      <rPr>
        <b/>
        <vertAlign val="superscript"/>
        <sz val="11"/>
        <rFont val="Calibri"/>
        <family val="2"/>
        <scheme val="minor"/>
      </rPr>
      <t>2</t>
    </r>
  </si>
  <si>
    <t>Trend (ŷ)</t>
  </si>
  <si>
    <t>=SSE</t>
  </si>
  <si>
    <r>
      <t>=</t>
    </r>
    <r>
      <rPr>
        <b/>
        <sz val="11"/>
        <color theme="1"/>
        <rFont val="Symbol"/>
        <family val="1"/>
        <charset val="2"/>
      </rPr>
      <t>m</t>
    </r>
  </si>
  <si>
    <t>=SST</t>
  </si>
  <si>
    <t>x(mean)</t>
  </si>
  <si>
    <t>SSX=</t>
  </si>
  <si>
    <r>
      <t>SE</t>
    </r>
    <r>
      <rPr>
        <vertAlign val="subscript"/>
        <sz val="11"/>
        <color theme="1"/>
        <rFont val="Calibri"/>
        <family val="2"/>
        <scheme val="minor"/>
      </rPr>
      <t>yx</t>
    </r>
    <r>
      <rPr>
        <sz val="11"/>
        <color theme="1"/>
        <rFont val="Calibri"/>
        <family val="2"/>
        <scheme val="minor"/>
      </rPr>
      <t>=</t>
    </r>
  </si>
  <si>
    <r>
      <t>v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=</t>
    </r>
  </si>
  <si>
    <r>
      <t>t</t>
    </r>
    <r>
      <rPr>
        <vertAlign val="subscript"/>
        <sz val="11"/>
        <color theme="1"/>
        <rFont val="Calibri"/>
        <family val="2"/>
        <scheme val="minor"/>
      </rPr>
      <t>crit</t>
    </r>
    <r>
      <rPr>
        <sz val="11"/>
        <color theme="1"/>
        <rFont val="Calibri"/>
        <family val="2"/>
        <scheme val="minor"/>
      </rPr>
      <t>=</t>
    </r>
  </si>
  <si>
    <r>
      <t>4+d</t>
    </r>
    <r>
      <rPr>
        <vertAlign val="subscript"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 xml:space="preserve"> or d</t>
    </r>
    <r>
      <rPr>
        <vertAlign val="subscript"/>
        <sz val="11"/>
        <color theme="1"/>
        <rFont val="Calibri"/>
        <family val="2"/>
        <scheme val="minor"/>
      </rPr>
      <t>U</t>
    </r>
  </si>
  <si>
    <r>
      <t>4-d</t>
    </r>
    <r>
      <rPr>
        <vertAlign val="subscript"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 xml:space="preserve"> or d</t>
    </r>
    <r>
      <rPr>
        <vertAlign val="subscript"/>
        <sz val="11"/>
        <color theme="1"/>
        <rFont val="Calibri"/>
        <family val="2"/>
        <scheme val="minor"/>
      </rPr>
      <t>U</t>
    </r>
  </si>
  <si>
    <t>y = -1.0322x + 92.429</t>
  </si>
  <si>
    <t>y = -14.24Ln(x) + 109.34</t>
  </si>
  <si>
    <t>SST</t>
  </si>
  <si>
    <t>SSR</t>
  </si>
  <si>
    <t>SSE</t>
  </si>
  <si>
    <t xml:space="preserve"> ŷ=0.939x + 0.533</t>
  </si>
  <si>
    <t>Z-score=</t>
  </si>
  <si>
    <t>=confidence interval in %</t>
  </si>
  <si>
    <t>h</t>
  </si>
  <si>
    <t>UL</t>
  </si>
  <si>
    <t>LL</t>
  </si>
  <si>
    <r>
      <t>(x-</t>
    </r>
    <r>
      <rPr>
        <b/>
        <sz val="11"/>
        <color theme="1"/>
        <rFont val="Calibri"/>
        <family val="2"/>
      </rPr>
      <t>μ</t>
    </r>
    <r>
      <rPr>
        <b/>
        <sz val="11"/>
        <color theme="1"/>
        <rFont val="Calibri"/>
        <family val="2"/>
        <scheme val="minor"/>
      </rPr>
      <t>)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</si>
  <si>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r>
      <t>(x-μ)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/sum((x-μ)</t>
    </r>
  </si>
  <si>
    <t>=SSR</t>
  </si>
  <si>
    <t>DJI Adj Close</t>
  </si>
  <si>
    <t>NASDAQ Close</t>
  </si>
  <si>
    <t>Predicted NASDAQ Close</t>
  </si>
  <si>
    <t>MY MACRO</t>
  </si>
  <si>
    <t>Dev from the mean</t>
  </si>
  <si>
    <r>
      <t>e</t>
    </r>
    <r>
      <rPr>
        <b/>
        <vertAlign val="superscript"/>
        <sz val="10"/>
        <rFont val="Arial"/>
        <family val="2"/>
      </rPr>
      <t>2</t>
    </r>
  </si>
  <si>
    <r>
      <t>(e</t>
    </r>
    <r>
      <rPr>
        <b/>
        <vertAlign val="subscript"/>
        <sz val="10"/>
        <rFont val="Arial"/>
        <family val="2"/>
      </rPr>
      <t>x</t>
    </r>
    <r>
      <rPr>
        <b/>
        <sz val="10"/>
        <rFont val="Arial"/>
        <family val="2"/>
      </rPr>
      <t>-e</t>
    </r>
    <r>
      <rPr>
        <b/>
        <vertAlign val="subscript"/>
        <sz val="10"/>
        <rFont val="Arial"/>
        <family val="2"/>
      </rPr>
      <t>x-1</t>
    </r>
    <r>
      <rPr>
        <b/>
        <sz val="10"/>
        <rFont val="Arial"/>
        <family val="2"/>
      </rPr>
      <t>)</t>
    </r>
    <r>
      <rPr>
        <b/>
        <vertAlign val="superscript"/>
        <sz val="10"/>
        <rFont val="Arial"/>
        <family val="2"/>
      </rPr>
      <t>2</t>
    </r>
  </si>
  <si>
    <t xml:space="preserve">PERIOD </t>
  </si>
  <si>
    <t>Dev from mean</t>
  </si>
  <si>
    <t>ACF</t>
  </si>
  <si>
    <t>2SE</t>
  </si>
  <si>
    <t>-CI</t>
  </si>
  <si>
    <t>+CI</t>
  </si>
  <si>
    <t>Year</t>
  </si>
  <si>
    <t>UK Air transport, passengers carried</t>
  </si>
  <si>
    <t>Annual data 1970-2015</t>
  </si>
  <si>
    <t>UK Air passengers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</si>
  <si>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</si>
  <si>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</si>
  <si>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</si>
  <si>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</si>
  <si>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</si>
  <si>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</si>
  <si>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</si>
  <si>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</si>
  <si>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</si>
  <si>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</si>
  <si>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</si>
  <si>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</si>
  <si>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</si>
  <si>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</si>
  <si>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</si>
  <si>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</si>
  <si>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</si>
  <si>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</si>
  <si>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</si>
  <si>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</si>
  <si>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</si>
  <si>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</si>
  <si>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</si>
  <si>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</si>
  <si>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</si>
  <si>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</si>
  <si>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</si>
  <si>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</si>
  <si>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</si>
  <si>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</si>
  <si>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</si>
  <si>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</si>
  <si>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</si>
  <si>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</si>
  <si>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</si>
  <si>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</si>
  <si>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</si>
  <si>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</si>
  <si>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</si>
  <si>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</si>
  <si>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</si>
  <si>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</si>
  <si>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</si>
  <si>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</si>
  <si>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</si>
  <si>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</si>
  <si>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Fit 1</t>
  </si>
  <si>
    <t>Fit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</si>
</sst>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"/>
    <numFmt numFmtId="165" formatCode="0.0000"/>
    <numFmt numFmtId="166" formatCode="0.00000"/>
    <numFmt numFmtId="167" formatCode="#,##0.000"/>
  </numFmts>
  <fonts count="3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sz val="12"/>
      <name val="Symbol"/>
      <family val="1"/>
      <charset val="2"/>
    </font>
    <font>
      <sz val="10"/>
      <color theme="1"/>
      <name val="Book Antiqua"/>
      <family val="1"/>
    </font>
    <font>
      <vertAlign val="superscript"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sz val="11"/>
      <name val="Calibri"/>
      <family val="2"/>
    </font>
    <font>
      <b/>
      <sz val="11"/>
      <name val="Symbol"/>
      <family val="1"/>
      <charset val="2"/>
    </font>
    <font>
      <b/>
      <sz val="11"/>
      <color theme="1"/>
      <name val="Symbol"/>
      <family val="1"/>
      <charset val="2"/>
    </font>
    <font>
      <vertAlign val="subscript"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indexed="14"/>
      <name val="Calibri"/>
      <family val="2"/>
      <scheme val="minor"/>
    </font>
    <font>
      <sz val="11"/>
      <color indexed="53"/>
      <name val="Calibri"/>
      <family val="2"/>
      <scheme val="minor"/>
    </font>
    <font>
      <sz val="11"/>
      <color indexed="12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indexed="51"/>
      <name val="Calibri"/>
      <family val="2"/>
      <scheme val="minor"/>
    </font>
    <font>
      <sz val="11"/>
      <color indexed="57"/>
      <name val="Calibri"/>
      <family val="2"/>
      <scheme val="minor"/>
    </font>
    <font>
      <sz val="11"/>
      <color indexed="23"/>
      <name val="Calibri"/>
      <family val="2"/>
      <scheme val="minor"/>
    </font>
    <font>
      <vertAlign val="subscript"/>
      <sz val="11"/>
      <name val="Calibri"/>
      <family val="2"/>
      <scheme val="minor"/>
    </font>
    <font>
      <sz val="11"/>
      <color indexed="16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3" tint="-0.249977111117893"/>
      <name val="Calibri"/>
      <family val="2"/>
      <scheme val="minor"/>
    </font>
    <font>
      <sz val="10"/>
      <name val="Arial Unicode MS"/>
      <family val="2"/>
    </font>
    <font>
      <b/>
      <vertAlign val="superscript"/>
      <sz val="10"/>
      <name val="Arial"/>
      <family val="2"/>
    </font>
    <font>
      <b/>
      <vertAlign val="subscript"/>
      <sz val="1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/>
    <xf numFmtId="15" fontId="0" fillId="0" borderId="0" xfId="0" applyNumberFormat="1"/>
    <xf numFmtId="0" fontId="0" fillId="0" borderId="0" xfId="0" quotePrefix="1"/>
    <xf numFmtId="0" fontId="0" fillId="0" borderId="0" xfId="0" applyAlignment="1">
      <alignment horizontal="right"/>
    </xf>
    <xf numFmtId="0" fontId="0" fillId="0" borderId="0" xfId="0" applyFill="1" applyBorder="1" applyAlignment="1"/>
    <xf numFmtId="0" fontId="0" fillId="0" borderId="3" xfId="0" applyFill="1" applyBorder="1" applyAlignment="1"/>
    <xf numFmtId="0" fontId="5" fillId="0" borderId="0" xfId="0" applyFont="1" applyAlignment="1">
      <alignment horizontal="right"/>
    </xf>
    <xf numFmtId="0" fontId="6" fillId="0" borderId="0" xfId="0" applyFont="1"/>
    <xf numFmtId="11" fontId="0" fillId="0" borderId="0" xfId="0" applyNumberFormat="1"/>
    <xf numFmtId="0" fontId="10" fillId="0" borderId="2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Continuous"/>
    </xf>
    <xf numFmtId="0" fontId="11" fillId="0" borderId="0" xfId="0" applyFont="1"/>
    <xf numFmtId="0" fontId="8" fillId="0" borderId="0" xfId="0" applyFont="1"/>
    <xf numFmtId="0" fontId="0" fillId="0" borderId="0" xfId="0" applyFont="1"/>
    <xf numFmtId="164" fontId="0" fillId="0" borderId="0" xfId="0" applyNumberFormat="1" applyFont="1"/>
    <xf numFmtId="164" fontId="0" fillId="0" borderId="0" xfId="0" quotePrefix="1" applyNumberFormat="1" applyFont="1"/>
    <xf numFmtId="0" fontId="0" fillId="0" borderId="0" xfId="0" quotePrefix="1" applyFont="1"/>
    <xf numFmtId="0" fontId="12" fillId="0" borderId="0" xfId="0" quotePrefix="1" applyFont="1" applyAlignment="1">
      <alignment horizontal="right"/>
    </xf>
    <xf numFmtId="164" fontId="12" fillId="0" borderId="0" xfId="0" applyNumberFormat="1" applyFont="1" applyAlignment="1">
      <alignment horizontal="lef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0" xfId="0" quotePrefix="1" applyFont="1"/>
    <xf numFmtId="0" fontId="13" fillId="0" borderId="0" xfId="0" applyFont="1" applyAlignment="1">
      <alignment horizontal="center"/>
    </xf>
    <xf numFmtId="0" fontId="12" fillId="0" borderId="0" xfId="0" quotePrefix="1" applyFont="1" applyAlignment="1">
      <alignment horizontal="center"/>
    </xf>
    <xf numFmtId="0" fontId="9" fillId="0" borderId="0" xfId="0" quotePrefix="1" applyFont="1"/>
    <xf numFmtId="0" fontId="0" fillId="0" borderId="0" xfId="0" applyFont="1" applyAlignment="1">
      <alignment horizontal="right"/>
    </xf>
    <xf numFmtId="0" fontId="9" fillId="0" borderId="0" xfId="0" applyFont="1"/>
    <xf numFmtId="0" fontId="12" fillId="0" borderId="0" xfId="0" quotePrefix="1" applyFont="1" applyAlignment="1">
      <alignment horizontal="left"/>
    </xf>
    <xf numFmtId="164" fontId="12" fillId="0" borderId="0" xfId="0" applyNumberFormat="1" applyFont="1" applyAlignment="1">
      <alignment horizontal="right"/>
    </xf>
    <xf numFmtId="0" fontId="9" fillId="0" borderId="0" xfId="0" quotePrefix="1" applyFont="1" applyAlignment="1">
      <alignment horizontal="left"/>
    </xf>
    <xf numFmtId="0" fontId="13" fillId="0" borderId="0" xfId="0" applyFont="1"/>
    <xf numFmtId="164" fontId="13" fillId="0" borderId="0" xfId="0" applyNumberFormat="1" applyFont="1"/>
    <xf numFmtId="0" fontId="0" fillId="0" borderId="0" xfId="0" applyFont="1" applyFill="1" applyBorder="1" applyAlignment="1"/>
    <xf numFmtId="0" fontId="0" fillId="0" borderId="3" xfId="0" applyFont="1" applyFill="1" applyBorder="1" applyAlignment="1"/>
    <xf numFmtId="0" fontId="20" fillId="0" borderId="2" xfId="0" applyFont="1" applyFill="1" applyBorder="1" applyAlignment="1">
      <alignment horizontal="centerContinuous"/>
    </xf>
    <xf numFmtId="0" fontId="21" fillId="0" borderId="0" xfId="0" applyFont="1"/>
    <xf numFmtId="0" fontId="22" fillId="0" borderId="0" xfId="0" applyFont="1"/>
    <xf numFmtId="0" fontId="23" fillId="0" borderId="0" xfId="0" applyFont="1" applyFill="1" applyBorder="1" applyAlignment="1"/>
    <xf numFmtId="0" fontId="24" fillId="0" borderId="0" xfId="0" applyFont="1" applyFill="1" applyBorder="1" applyAlignment="1"/>
    <xf numFmtId="0" fontId="24" fillId="0" borderId="0" xfId="0" applyFont="1"/>
    <xf numFmtId="0" fontId="25" fillId="0" borderId="0" xfId="0" applyFont="1" applyFill="1" applyBorder="1" applyAlignment="1"/>
    <xf numFmtId="0" fontId="23" fillId="0" borderId="0" xfId="0" applyFont="1"/>
    <xf numFmtId="0" fontId="26" fillId="0" borderId="0" xfId="0" applyFont="1"/>
    <xf numFmtId="0" fontId="25" fillId="0" borderId="0" xfId="0" applyFont="1"/>
    <xf numFmtId="0" fontId="27" fillId="0" borderId="0" xfId="0" applyFont="1"/>
    <xf numFmtId="0" fontId="20" fillId="0" borderId="2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/>
    </xf>
    <xf numFmtId="0" fontId="29" fillId="0" borderId="0" xfId="0" applyFont="1"/>
    <xf numFmtId="0" fontId="21" fillId="0" borderId="0" xfId="0" applyFont="1" applyFill="1" applyBorder="1" applyAlignment="1"/>
    <xf numFmtId="0" fontId="22" fillId="0" borderId="0" xfId="0" applyFont="1" applyFill="1" applyBorder="1" applyAlignment="1"/>
    <xf numFmtId="0" fontId="26" fillId="0" borderId="0" xfId="0" applyFont="1" applyFill="1" applyBorder="1" applyAlignment="1"/>
    <xf numFmtId="0" fontId="27" fillId="0" borderId="0" xfId="0" applyFont="1" applyFill="1" applyBorder="1" applyAlignment="1"/>
    <xf numFmtId="0" fontId="29" fillId="0" borderId="0" xfId="0" applyFont="1" applyFill="1" applyBorder="1" applyAlignment="1"/>
    <xf numFmtId="0" fontId="21" fillId="0" borderId="3" xfId="0" applyFont="1" applyFill="1" applyBorder="1" applyAlignment="1"/>
    <xf numFmtId="0" fontId="30" fillId="0" borderId="0" xfId="0" applyFont="1"/>
    <xf numFmtId="0" fontId="30" fillId="0" borderId="3" xfId="0" applyFont="1" applyFill="1" applyBorder="1" applyAlignment="1"/>
    <xf numFmtId="0" fontId="31" fillId="0" borderId="3" xfId="0" applyFont="1" applyFill="1" applyBorder="1" applyAlignment="1"/>
    <xf numFmtId="0" fontId="31" fillId="0" borderId="0" xfId="0" applyFont="1"/>
    <xf numFmtId="0" fontId="0" fillId="0" borderId="0" xfId="0" quotePrefix="1" applyFill="1" applyBorder="1" applyAlignment="1"/>
    <xf numFmtId="0" fontId="8" fillId="0" borderId="0" xfId="0" quotePrefix="1" applyFont="1" applyFill="1" applyBorder="1" applyAlignment="1"/>
    <xf numFmtId="0" fontId="33" fillId="0" borderId="0" xfId="0" quotePrefix="1" applyFont="1" applyFill="1" applyBorder="1" applyAlignment="1"/>
    <xf numFmtId="0" fontId="0" fillId="0" borderId="1" xfId="0" applyBorder="1"/>
    <xf numFmtId="0" fontId="12" fillId="0" borderId="0" xfId="0" applyFont="1" applyFill="1" applyBorder="1" applyAlignment="1">
      <alignment horizontal="center"/>
    </xf>
    <xf numFmtId="164" fontId="0" fillId="0" borderId="0" xfId="0" applyNumberFormat="1"/>
    <xf numFmtId="2" fontId="0" fillId="0" borderId="0" xfId="0" applyNumberFormat="1"/>
    <xf numFmtId="0" fontId="12" fillId="0" borderId="1" xfId="0" applyFont="1" applyFill="1" applyBorder="1" applyAlignment="1">
      <alignment horizontal="center"/>
    </xf>
    <xf numFmtId="164" fontId="0" fillId="0" borderId="0" xfId="0" quotePrefix="1" applyNumberFormat="1"/>
    <xf numFmtId="164" fontId="9" fillId="0" borderId="0" xfId="0" quotePrefix="1" applyNumberFormat="1" applyFont="1"/>
    <xf numFmtId="164" fontId="9" fillId="0" borderId="0" xfId="0" applyNumberFormat="1" applyFont="1"/>
    <xf numFmtId="164" fontId="12" fillId="0" borderId="0" xfId="0" applyNumberFormat="1" applyFont="1"/>
    <xf numFmtId="165" fontId="0" fillId="0" borderId="0" xfId="0" applyNumberFormat="1" applyFont="1"/>
    <xf numFmtId="0" fontId="3" fillId="0" borderId="0" xfId="0" applyFont="1"/>
    <xf numFmtId="14" fontId="0" fillId="0" borderId="0" xfId="0" applyNumberFormat="1"/>
    <xf numFmtId="0" fontId="34" fillId="0" borderId="0" xfId="0" applyFont="1"/>
    <xf numFmtId="0" fontId="0" fillId="0" borderId="0" xfId="0" applyBorder="1" applyAlignment="1">
      <alignment horizontal="right"/>
    </xf>
    <xf numFmtId="166" fontId="8" fillId="0" borderId="0" xfId="0" applyNumberFormat="1" applyFont="1"/>
    <xf numFmtId="166" fontId="33" fillId="0" borderId="0" xfId="0" applyNumberFormat="1" applyFont="1"/>
    <xf numFmtId="0" fontId="1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65" fontId="13" fillId="0" borderId="0" xfId="0" quotePrefix="1" applyNumberFormat="1" applyFont="1" applyAlignment="1">
      <alignment horizontal="center"/>
    </xf>
    <xf numFmtId="0" fontId="12" fillId="0" borderId="4" xfId="0" applyNumberFormat="1" applyFont="1" applyBorder="1" applyAlignment="1">
      <alignment horizontal="center"/>
    </xf>
    <xf numFmtId="0" fontId="12" fillId="0" borderId="1" xfId="0" applyFont="1" applyBorder="1"/>
    <xf numFmtId="0" fontId="12" fillId="0" borderId="1" xfId="0" applyNumberFormat="1" applyFont="1" applyBorder="1" applyAlignment="1">
      <alignment horizontal="center"/>
    </xf>
    <xf numFmtId="0" fontId="12" fillId="0" borderId="1" xfId="0" quotePrefix="1" applyFont="1" applyFill="1" applyBorder="1" applyAlignment="1">
      <alignment horizontal="center"/>
    </xf>
    <xf numFmtId="0" fontId="12" fillId="0" borderId="1" xfId="0" quotePrefix="1" applyFont="1" applyBorder="1" applyAlignment="1">
      <alignment horizontal="center"/>
    </xf>
    <xf numFmtId="2" fontId="13" fillId="0" borderId="0" xfId="0" applyNumberFormat="1" applyFont="1"/>
    <xf numFmtId="0" fontId="37" fillId="0" borderId="0" xfId="0" applyFont="1"/>
    <xf numFmtId="3" fontId="37" fillId="0" borderId="0" xfId="0" applyNumberFormat="1" applyFont="1" applyFill="1"/>
    <xf numFmtId="3" fontId="37" fillId="0" borderId="0" xfId="0" quotePrefix="1" applyNumberFormat="1" applyFont="1" applyFill="1"/>
    <xf numFmtId="167" fontId="37" fillId="0" borderId="0" xfId="0" applyNumberFormat="1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Time Series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'6.1.1-4'!$B$1</c:f>
              <c:strCache>
                <c:ptCount val="1"/>
                <c:pt idx="0">
                  <c:v>Series</c:v>
                </c:pt>
              </c:strCache>
            </c:strRef>
          </c:tx>
          <c:marker>
            <c:symbol val="none"/>
          </c:marker>
          <c:val>
            <c:numRef>
              <c:f>'6.1.1-4'!$B$2:$B$16</c:f>
              <c:numCache>
                <c:formatCode>General</c:formatCode>
                <c:ptCount val="15"/>
                <c:pt idx="0">
                  <c:v>3</c:v>
                </c:pt>
                <c:pt idx="1">
                  <c:v>6</c:v>
                </c:pt>
                <c:pt idx="2">
                  <c:v>8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7</c:v>
                </c:pt>
                <c:pt idx="7">
                  <c:v>5</c:v>
                </c:pt>
                <c:pt idx="8">
                  <c:v>2</c:v>
                </c:pt>
                <c:pt idx="9">
                  <c:v>4</c:v>
                </c:pt>
                <c:pt idx="10">
                  <c:v>8</c:v>
                </c:pt>
                <c:pt idx="11">
                  <c:v>6</c:v>
                </c:pt>
                <c:pt idx="12">
                  <c:v>2</c:v>
                </c:pt>
                <c:pt idx="13">
                  <c:v>6</c:v>
                </c:pt>
                <c:pt idx="1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FB-4E0E-98D6-1774AC19C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885824"/>
        <c:axId val="119887360"/>
      </c:lineChart>
      <c:catAx>
        <c:axId val="119885824"/>
        <c:scaling>
          <c:orientation val="minMax"/>
        </c:scaling>
        <c:delete val="0"/>
        <c:axPos val="b"/>
        <c:majorTickMark val="out"/>
        <c:minorTickMark val="none"/>
        <c:tickLblPos val="nextTo"/>
        <c:crossAx val="119887360"/>
        <c:crosses val="autoZero"/>
        <c:auto val="1"/>
        <c:lblAlgn val="ctr"/>
        <c:lblOffset val="100"/>
        <c:noMultiLvlLbl val="0"/>
      </c:catAx>
      <c:valAx>
        <c:axId val="1198873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9885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trendline>
            <c:trendlineType val="linear"/>
            <c:dispRSqr val="0"/>
            <c:dispEq val="1"/>
            <c:trendlineLbl>
              <c:numFmt formatCode="General" sourceLinked="0"/>
            </c:trendlineLbl>
          </c:trendline>
          <c:trendline>
            <c:trendlineType val="linear"/>
            <c:forward val="5"/>
            <c:dispRSqr val="0"/>
            <c:dispEq val="0"/>
          </c:trendline>
          <c:val>
            <c:numRef>
              <c:f>'6.3.1-5'!$B$2:$B$47</c:f>
              <c:numCache>
                <c:formatCode>General</c:formatCode>
                <c:ptCount val="46"/>
                <c:pt idx="0">
                  <c:v>81.31</c:v>
                </c:pt>
                <c:pt idx="1">
                  <c:v>80.69</c:v>
                </c:pt>
                <c:pt idx="2">
                  <c:v>90.19</c:v>
                </c:pt>
                <c:pt idx="3">
                  <c:v>85.81</c:v>
                </c:pt>
                <c:pt idx="4">
                  <c:v>92.56</c:v>
                </c:pt>
                <c:pt idx="5">
                  <c:v>90.56</c:v>
                </c:pt>
                <c:pt idx="6">
                  <c:v>92.56</c:v>
                </c:pt>
                <c:pt idx="7">
                  <c:v>91.05</c:v>
                </c:pt>
                <c:pt idx="8">
                  <c:v>116.75</c:v>
                </c:pt>
                <c:pt idx="9">
                  <c:v>97.87</c:v>
                </c:pt>
                <c:pt idx="10">
                  <c:v>89.37</c:v>
                </c:pt>
                <c:pt idx="11">
                  <c:v>106.25</c:v>
                </c:pt>
                <c:pt idx="12">
                  <c:v>69.75</c:v>
                </c:pt>
                <c:pt idx="13">
                  <c:v>62.56</c:v>
                </c:pt>
                <c:pt idx="14">
                  <c:v>80</c:v>
                </c:pt>
                <c:pt idx="15">
                  <c:v>69.81</c:v>
                </c:pt>
                <c:pt idx="16">
                  <c:v>69.81</c:v>
                </c:pt>
                <c:pt idx="17">
                  <c:v>60.31</c:v>
                </c:pt>
                <c:pt idx="18">
                  <c:v>68.87</c:v>
                </c:pt>
                <c:pt idx="19">
                  <c:v>57.38</c:v>
                </c:pt>
                <c:pt idx="20">
                  <c:v>43.38</c:v>
                </c:pt>
                <c:pt idx="21">
                  <c:v>61.06</c:v>
                </c:pt>
                <c:pt idx="22">
                  <c:v>59</c:v>
                </c:pt>
                <c:pt idx="23">
                  <c:v>54.69</c:v>
                </c:pt>
                <c:pt idx="24">
                  <c:v>67.75</c:v>
                </c:pt>
                <c:pt idx="25">
                  <c:v>69.180000000000007</c:v>
                </c:pt>
                <c:pt idx="26">
                  <c:v>73</c:v>
                </c:pt>
                <c:pt idx="27">
                  <c:v>66.19</c:v>
                </c:pt>
                <c:pt idx="28">
                  <c:v>57.05</c:v>
                </c:pt>
                <c:pt idx="29">
                  <c:v>51.17</c:v>
                </c:pt>
                <c:pt idx="30">
                  <c:v>58.15</c:v>
                </c:pt>
                <c:pt idx="31">
                  <c:v>64.209999999999994</c:v>
                </c:pt>
                <c:pt idx="32">
                  <c:v>66.25</c:v>
                </c:pt>
                <c:pt idx="33">
                  <c:v>63.71</c:v>
                </c:pt>
                <c:pt idx="34">
                  <c:v>58.34</c:v>
                </c:pt>
                <c:pt idx="35">
                  <c:v>60.31</c:v>
                </c:pt>
                <c:pt idx="36">
                  <c:v>52.26</c:v>
                </c:pt>
                <c:pt idx="37">
                  <c:v>50.91</c:v>
                </c:pt>
                <c:pt idx="38">
                  <c:v>54.7</c:v>
                </c:pt>
                <c:pt idx="39">
                  <c:v>47.98</c:v>
                </c:pt>
                <c:pt idx="40">
                  <c:v>49.08</c:v>
                </c:pt>
                <c:pt idx="41">
                  <c:v>43.74</c:v>
                </c:pt>
                <c:pt idx="42">
                  <c:v>53.47</c:v>
                </c:pt>
                <c:pt idx="43">
                  <c:v>57.68</c:v>
                </c:pt>
                <c:pt idx="44">
                  <c:v>51.7</c:v>
                </c:pt>
                <c:pt idx="45">
                  <c:v>47.46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E7-4346-A821-615AEF94E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414592"/>
        <c:axId val="162416128"/>
      </c:lineChart>
      <c:catAx>
        <c:axId val="162414592"/>
        <c:scaling>
          <c:orientation val="minMax"/>
        </c:scaling>
        <c:delete val="0"/>
        <c:axPos val="b"/>
        <c:majorTickMark val="out"/>
        <c:minorTickMark val="none"/>
        <c:tickLblPos val="nextTo"/>
        <c:crossAx val="162416128"/>
        <c:crosses val="autoZero"/>
        <c:auto val="1"/>
        <c:lblAlgn val="ctr"/>
        <c:lblOffset val="100"/>
        <c:noMultiLvlLbl val="0"/>
      </c:catAx>
      <c:valAx>
        <c:axId val="1624161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414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'6.3.1-5'!$AA$1</c:f>
              <c:strCache>
                <c:ptCount val="1"/>
                <c:pt idx="0">
                  <c:v>Mod Exp</c:v>
                </c:pt>
              </c:strCache>
            </c:strRef>
          </c:tx>
          <c:marker>
            <c:symbol val="none"/>
          </c:marker>
          <c:val>
            <c:numRef>
              <c:f>'6.3.1-5'!$AA$2:$AA$26</c:f>
              <c:numCache>
                <c:formatCode>General</c:formatCode>
                <c:ptCount val="25"/>
                <c:pt idx="0">
                  <c:v>0.12999999999999989</c:v>
                </c:pt>
                <c:pt idx="1">
                  <c:v>0.41050000000000009</c:v>
                </c:pt>
                <c:pt idx="2">
                  <c:v>0.64892499999999997</c:v>
                </c:pt>
                <c:pt idx="3">
                  <c:v>0.85158625000000021</c:v>
                </c:pt>
                <c:pt idx="4">
                  <c:v>1.0238483125000002</c:v>
                </c:pt>
                <c:pt idx="5">
                  <c:v>1.1702710656250002</c:v>
                </c:pt>
                <c:pt idx="6">
                  <c:v>1.2947304057812503</c:v>
                </c:pt>
                <c:pt idx="7">
                  <c:v>1.4005208449140627</c:v>
                </c:pt>
                <c:pt idx="8">
                  <c:v>1.4904427181769533</c:v>
                </c:pt>
                <c:pt idx="9">
                  <c:v>1.5668763104504104</c:v>
                </c:pt>
                <c:pt idx="10">
                  <c:v>1.6318448638828489</c:v>
                </c:pt>
                <c:pt idx="11">
                  <c:v>1.6870681343004215</c:v>
                </c:pt>
                <c:pt idx="12">
                  <c:v>1.7340079141553582</c:v>
                </c:pt>
                <c:pt idx="13">
                  <c:v>1.7739067270320545</c:v>
                </c:pt>
                <c:pt idx="14">
                  <c:v>1.8078207179772463</c:v>
                </c:pt>
                <c:pt idx="15">
                  <c:v>1.8366476102806595</c:v>
                </c:pt>
                <c:pt idx="16">
                  <c:v>1.8611504687385605</c:v>
                </c:pt>
                <c:pt idx="17">
                  <c:v>1.8819778984277764</c:v>
                </c:pt>
                <c:pt idx="18">
                  <c:v>1.8996812136636099</c:v>
                </c:pt>
                <c:pt idx="19">
                  <c:v>1.9147290316140684</c:v>
                </c:pt>
                <c:pt idx="20">
                  <c:v>1.9275196768719582</c:v>
                </c:pt>
                <c:pt idx="21">
                  <c:v>1.9383917253411644</c:v>
                </c:pt>
                <c:pt idx="22">
                  <c:v>1.9476329665399899</c:v>
                </c:pt>
                <c:pt idx="23">
                  <c:v>1.9554880215589914</c:v>
                </c:pt>
                <c:pt idx="24">
                  <c:v>1.9621648183251426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CE-4A26-8F0B-D34E55217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431360"/>
        <c:axId val="162432896"/>
      </c:lineChart>
      <c:catAx>
        <c:axId val="162431360"/>
        <c:scaling>
          <c:orientation val="minMax"/>
        </c:scaling>
        <c:delete val="0"/>
        <c:axPos val="b"/>
        <c:majorTickMark val="out"/>
        <c:minorTickMark val="none"/>
        <c:tickLblPos val="nextTo"/>
        <c:crossAx val="162432896"/>
        <c:crosses val="autoZero"/>
        <c:auto val="1"/>
        <c:lblAlgn val="ctr"/>
        <c:lblOffset val="100"/>
        <c:noMultiLvlLbl val="0"/>
      </c:catAx>
      <c:valAx>
        <c:axId val="1624328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431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'6.3.1-5'!$AL$1</c:f>
              <c:strCache>
                <c:ptCount val="1"/>
                <c:pt idx="0">
                  <c:v>Logistic</c:v>
                </c:pt>
              </c:strCache>
            </c:strRef>
          </c:tx>
          <c:marker>
            <c:symbol val="none"/>
          </c:marker>
          <c:val>
            <c:numRef>
              <c:f>'6.3.1-5'!$AL$2:$AL$26</c:f>
              <c:numCache>
                <c:formatCode>General</c:formatCode>
                <c:ptCount val="25"/>
                <c:pt idx="0">
                  <c:v>1.9992003198720512E-4</c:v>
                </c:pt>
                <c:pt idx="1">
                  <c:v>3.996802557953637E-4</c:v>
                </c:pt>
                <c:pt idx="2">
                  <c:v>7.9872204472843447E-4</c:v>
                </c:pt>
                <c:pt idx="3">
                  <c:v>1.594896331738437E-3</c:v>
                </c:pt>
                <c:pt idx="4">
                  <c:v>3.1796502384737681E-3</c:v>
                </c:pt>
                <c:pt idx="5">
                  <c:v>6.3191153238546603E-3</c:v>
                </c:pt>
                <c:pt idx="6">
                  <c:v>1.2480499219968799E-2</c:v>
                </c:pt>
                <c:pt idx="7">
                  <c:v>2.4353120243531201E-2</c:v>
                </c:pt>
                <c:pt idx="8">
                  <c:v>4.6444121915820029E-2</c:v>
                </c:pt>
                <c:pt idx="9">
                  <c:v>8.4993359893758294E-2</c:v>
                </c:pt>
                <c:pt idx="10">
                  <c:v>0.1452894438138479</c:v>
                </c:pt>
                <c:pt idx="11">
                  <c:v>0.22515391380826738</c:v>
                </c:pt>
                <c:pt idx="12">
                  <c:v>0.31049120679199516</c:v>
                </c:pt>
                <c:pt idx="13">
                  <c:v>0.38309016086793862</c:v>
                </c:pt>
                <c:pt idx="14">
                  <c:v>0.43380639694979878</c:v>
                </c:pt>
                <c:pt idx="15">
                  <c:v>0.46455710559147101</c:v>
                </c:pt>
                <c:pt idx="16">
                  <c:v>0.48162737374331238</c:v>
                </c:pt>
                <c:pt idx="17">
                  <c:v>0.49064175126523524</c:v>
                </c:pt>
                <c:pt idx="18">
                  <c:v>0.495276673569021</c:v>
                </c:pt>
                <c:pt idx="19">
                  <c:v>0.49762712893991512</c:v>
                </c:pt>
                <c:pt idx="20">
                  <c:v>0.49881074251528912</c:v>
                </c:pt>
                <c:pt idx="21">
                  <c:v>0.49940466324895744</c:v>
                </c:pt>
                <c:pt idx="22">
                  <c:v>0.49970215430599096</c:v>
                </c:pt>
                <c:pt idx="23">
                  <c:v>0.49985103278375154</c:v>
                </c:pt>
                <c:pt idx="24">
                  <c:v>0.49992550529460689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56-49E1-85D1-2C52AEBD85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468608"/>
        <c:axId val="162470144"/>
      </c:lineChart>
      <c:catAx>
        <c:axId val="162468608"/>
        <c:scaling>
          <c:orientation val="minMax"/>
        </c:scaling>
        <c:delete val="0"/>
        <c:axPos val="b"/>
        <c:majorTickMark val="out"/>
        <c:minorTickMark val="none"/>
        <c:tickLblPos val="nextTo"/>
        <c:crossAx val="162470144"/>
        <c:crosses val="autoZero"/>
        <c:auto val="1"/>
        <c:lblAlgn val="ctr"/>
        <c:lblOffset val="100"/>
        <c:noMultiLvlLbl val="0"/>
      </c:catAx>
      <c:valAx>
        <c:axId val="162470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468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'6.3.6-9'!$C$5</c:f>
              <c:strCache>
                <c:ptCount val="1"/>
                <c:pt idx="0">
                  <c:v>UK Air passengers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'6.3.6-9'!$C$6:$C$51</c:f>
              <c:numCache>
                <c:formatCode>#,##0</c:formatCode>
                <c:ptCount val="46"/>
                <c:pt idx="0">
                  <c:v>15568800</c:v>
                </c:pt>
                <c:pt idx="1">
                  <c:v>15796000</c:v>
                </c:pt>
                <c:pt idx="2">
                  <c:v>17308500</c:v>
                </c:pt>
                <c:pt idx="3">
                  <c:v>18959700</c:v>
                </c:pt>
                <c:pt idx="4">
                  <c:v>18062600</c:v>
                </c:pt>
                <c:pt idx="5">
                  <c:v>18074900</c:v>
                </c:pt>
                <c:pt idx="6">
                  <c:v>19472900</c:v>
                </c:pt>
                <c:pt idx="7">
                  <c:v>19484500</c:v>
                </c:pt>
                <c:pt idx="8">
                  <c:v>23186100</c:v>
                </c:pt>
                <c:pt idx="9">
                  <c:v>25312100</c:v>
                </c:pt>
                <c:pt idx="10">
                  <c:v>25551200</c:v>
                </c:pt>
                <c:pt idx="11">
                  <c:v>24578700</c:v>
                </c:pt>
                <c:pt idx="12">
                  <c:v>23872500</c:v>
                </c:pt>
                <c:pt idx="13">
                  <c:v>23376200</c:v>
                </c:pt>
                <c:pt idx="14">
                  <c:v>25825700</c:v>
                </c:pt>
                <c:pt idx="15">
                  <c:v>28229400</c:v>
                </c:pt>
                <c:pt idx="16">
                  <c:v>29373100</c:v>
                </c:pt>
                <c:pt idx="17">
                  <c:v>33705300</c:v>
                </c:pt>
                <c:pt idx="18">
                  <c:v>37573100</c:v>
                </c:pt>
                <c:pt idx="19">
                  <c:v>46354400</c:v>
                </c:pt>
                <c:pt idx="20">
                  <c:v>47113600</c:v>
                </c:pt>
                <c:pt idx="21">
                  <c:v>42861200</c:v>
                </c:pt>
                <c:pt idx="22">
                  <c:v>47819400</c:v>
                </c:pt>
                <c:pt idx="23">
                  <c:v>50187900</c:v>
                </c:pt>
                <c:pt idx="24">
                  <c:v>55475500</c:v>
                </c:pt>
                <c:pt idx="25">
                  <c:v>59688800</c:v>
                </c:pt>
                <c:pt idx="26">
                  <c:v>64208500</c:v>
                </c:pt>
                <c:pt idx="27">
                  <c:v>62763200</c:v>
                </c:pt>
                <c:pt idx="28">
                  <c:v>61940200</c:v>
                </c:pt>
                <c:pt idx="29">
                  <c:v>65738296</c:v>
                </c:pt>
                <c:pt idx="30">
                  <c:v>70436030</c:v>
                </c:pt>
                <c:pt idx="31">
                  <c:v>70331725</c:v>
                </c:pt>
                <c:pt idx="32">
                  <c:v>72381196</c:v>
                </c:pt>
                <c:pt idx="33">
                  <c:v>76388660</c:v>
                </c:pt>
                <c:pt idx="34">
                  <c:v>86054762</c:v>
                </c:pt>
                <c:pt idx="35">
                  <c:v>93602879</c:v>
                </c:pt>
                <c:pt idx="36">
                  <c:v>97544631</c:v>
                </c:pt>
                <c:pt idx="37">
                  <c:v>101622807</c:v>
                </c:pt>
                <c:pt idx="38">
                  <c:v>104713553</c:v>
                </c:pt>
                <c:pt idx="39">
                  <c:v>102464509</c:v>
                </c:pt>
                <c:pt idx="40" formatCode="#,##0.000">
                  <c:v>101515720.193399</c:v>
                </c:pt>
                <c:pt idx="41">
                  <c:v>111598546.141229</c:v>
                </c:pt>
                <c:pt idx="42">
                  <c:v>115419920.565667</c:v>
                </c:pt>
                <c:pt idx="43">
                  <c:v>118605866</c:v>
                </c:pt>
                <c:pt idx="44">
                  <c:v>124873409</c:v>
                </c:pt>
                <c:pt idx="45">
                  <c:v>131449680.40099999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40-496C-9204-E2062DCCE7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4127472"/>
        <c:axId val="714123536"/>
      </c:lineChart>
      <c:catAx>
        <c:axId val="7141274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123536"/>
        <c:crosses val="autoZero"/>
        <c:auto val="1"/>
        <c:lblAlgn val="ctr"/>
        <c:lblOffset val="100"/>
        <c:noMultiLvlLbl val="0"/>
      </c:catAx>
      <c:valAx>
        <c:axId val="714123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12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'6.3.6-9'!$C$5</c:f>
              <c:strCache>
                <c:ptCount val="1"/>
                <c:pt idx="0">
                  <c:v>UK Air passengers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numFmt formatCode="0.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'6.3.6-9'!$C$6:$C$51</c:f>
              <c:numCache>
                <c:formatCode>#,##0</c:formatCode>
                <c:ptCount val="46"/>
                <c:pt idx="0">
                  <c:v>15568800</c:v>
                </c:pt>
                <c:pt idx="1">
                  <c:v>15796000</c:v>
                </c:pt>
                <c:pt idx="2">
                  <c:v>17308500</c:v>
                </c:pt>
                <c:pt idx="3">
                  <c:v>18959700</c:v>
                </c:pt>
                <c:pt idx="4">
                  <c:v>18062600</c:v>
                </c:pt>
                <c:pt idx="5">
                  <c:v>18074900</c:v>
                </c:pt>
                <c:pt idx="6">
                  <c:v>19472900</c:v>
                </c:pt>
                <c:pt idx="7">
                  <c:v>19484500</c:v>
                </c:pt>
                <c:pt idx="8">
                  <c:v>23186100</c:v>
                </c:pt>
                <c:pt idx="9">
                  <c:v>25312100</c:v>
                </c:pt>
                <c:pt idx="10">
                  <c:v>25551200</c:v>
                </c:pt>
                <c:pt idx="11">
                  <c:v>24578700</c:v>
                </c:pt>
                <c:pt idx="12">
                  <c:v>23872500</c:v>
                </c:pt>
                <c:pt idx="13">
                  <c:v>23376200</c:v>
                </c:pt>
                <c:pt idx="14">
                  <c:v>25825700</c:v>
                </c:pt>
                <c:pt idx="15">
                  <c:v>28229400</c:v>
                </c:pt>
                <c:pt idx="16">
                  <c:v>29373100</c:v>
                </c:pt>
                <c:pt idx="17">
                  <c:v>33705300</c:v>
                </c:pt>
                <c:pt idx="18">
                  <c:v>37573100</c:v>
                </c:pt>
                <c:pt idx="19">
                  <c:v>46354400</c:v>
                </c:pt>
                <c:pt idx="20">
                  <c:v>47113600</c:v>
                </c:pt>
                <c:pt idx="21">
                  <c:v>42861200</c:v>
                </c:pt>
                <c:pt idx="22">
                  <c:v>47819400</c:v>
                </c:pt>
                <c:pt idx="23">
                  <c:v>50187900</c:v>
                </c:pt>
                <c:pt idx="24">
                  <c:v>55475500</c:v>
                </c:pt>
                <c:pt idx="25">
                  <c:v>59688800</c:v>
                </c:pt>
                <c:pt idx="26">
                  <c:v>64208500</c:v>
                </c:pt>
                <c:pt idx="27">
                  <c:v>62763200</c:v>
                </c:pt>
                <c:pt idx="28">
                  <c:v>61940200</c:v>
                </c:pt>
                <c:pt idx="29">
                  <c:v>65738296</c:v>
                </c:pt>
                <c:pt idx="30">
                  <c:v>70436030</c:v>
                </c:pt>
                <c:pt idx="31">
                  <c:v>70331725</c:v>
                </c:pt>
                <c:pt idx="32">
                  <c:v>72381196</c:v>
                </c:pt>
                <c:pt idx="33">
                  <c:v>76388660</c:v>
                </c:pt>
                <c:pt idx="34">
                  <c:v>86054762</c:v>
                </c:pt>
                <c:pt idx="35">
                  <c:v>93602879</c:v>
                </c:pt>
                <c:pt idx="36">
                  <c:v>97544631</c:v>
                </c:pt>
                <c:pt idx="37">
                  <c:v>101622807</c:v>
                </c:pt>
                <c:pt idx="38">
                  <c:v>104713553</c:v>
                </c:pt>
                <c:pt idx="39">
                  <c:v>102464509</c:v>
                </c:pt>
                <c:pt idx="40" formatCode="#,##0.000">
                  <c:v>101515720.193399</c:v>
                </c:pt>
                <c:pt idx="41">
                  <c:v>111598546.141229</c:v>
                </c:pt>
                <c:pt idx="42">
                  <c:v>115419920.565667</c:v>
                </c:pt>
                <c:pt idx="43">
                  <c:v>118605866</c:v>
                </c:pt>
                <c:pt idx="44">
                  <c:v>124873409</c:v>
                </c:pt>
                <c:pt idx="45">
                  <c:v>131449680.40099999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08-494D-AD51-4833A6F99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3963472"/>
        <c:axId val="713964128"/>
      </c:lineChart>
      <c:catAx>
        <c:axId val="7139634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3964128"/>
        <c:crosses val="autoZero"/>
        <c:auto val="1"/>
        <c:lblAlgn val="ctr"/>
        <c:lblOffset val="100"/>
        <c:noMultiLvlLbl val="0"/>
      </c:catAx>
      <c:valAx>
        <c:axId val="71396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396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'6.6.1.1-5'!$B$1</c:f>
              <c:strCache>
                <c:ptCount val="1"/>
                <c:pt idx="0">
                  <c:v>Profit (Y)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0.2196023622047244"/>
                  <c:y val="-4.746281714785674E-4"/>
                </c:manualLayout>
              </c:layout>
              <c:numFmt formatCode="General" sourceLinked="0"/>
            </c:trendlineLbl>
          </c:trendline>
          <c:xVal>
            <c:numRef>
              <c:f>'6.6.1.1-5'!$A$2:$A$11</c:f>
              <c:numCache>
                <c:formatCode>General</c:formatCode>
                <c:ptCount val="10"/>
                <c:pt idx="0">
                  <c:v>25</c:v>
                </c:pt>
                <c:pt idx="1">
                  <c:v>10</c:v>
                </c:pt>
                <c:pt idx="2">
                  <c:v>13</c:v>
                </c:pt>
                <c:pt idx="3">
                  <c:v>45</c:v>
                </c:pt>
                <c:pt idx="4">
                  <c:v>128</c:v>
                </c:pt>
                <c:pt idx="5">
                  <c:v>35</c:v>
                </c:pt>
                <c:pt idx="6">
                  <c:v>90</c:v>
                </c:pt>
                <c:pt idx="7">
                  <c:v>45</c:v>
                </c:pt>
                <c:pt idx="8">
                  <c:v>80</c:v>
                </c:pt>
                <c:pt idx="9">
                  <c:v>100</c:v>
                </c:pt>
              </c:numCache>
            </c:numRef>
          </c:xVal>
          <c:yVal>
            <c:numRef>
              <c:f>'6.6.1.1-5'!$B$2:$B$11</c:f>
              <c:numCache>
                <c:formatCode>General</c:formatCode>
                <c:ptCount val="10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13</c:v>
                </c:pt>
                <c:pt idx="5">
                  <c:v>3</c:v>
                </c:pt>
                <c:pt idx="6">
                  <c:v>8</c:v>
                </c:pt>
                <c:pt idx="7">
                  <c:v>6</c:v>
                </c:pt>
                <c:pt idx="8">
                  <c:v>9</c:v>
                </c:pt>
                <c:pt idx="9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12-466A-8E3A-3F4149FC0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2597120"/>
        <c:axId val="162603008"/>
      </c:scatterChart>
      <c:valAx>
        <c:axId val="162597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2603008"/>
        <c:crosses val="autoZero"/>
        <c:crossBetween val="midCat"/>
      </c:valAx>
      <c:valAx>
        <c:axId val="1626030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5971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Profit and Revenue relationship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'6.6.1.1-5'!$B$1</c:f>
              <c:strCache>
                <c:ptCount val="1"/>
                <c:pt idx="0">
                  <c:v>Profit (Y)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'6.6.1.1-5'!$A$2:$A$11</c:f>
              <c:numCache>
                <c:formatCode>General</c:formatCode>
                <c:ptCount val="10"/>
                <c:pt idx="0">
                  <c:v>25</c:v>
                </c:pt>
                <c:pt idx="1">
                  <c:v>10</c:v>
                </c:pt>
                <c:pt idx="2">
                  <c:v>13</c:v>
                </c:pt>
                <c:pt idx="3">
                  <c:v>45</c:v>
                </c:pt>
                <c:pt idx="4">
                  <c:v>128</c:v>
                </c:pt>
                <c:pt idx="5">
                  <c:v>35</c:v>
                </c:pt>
                <c:pt idx="6">
                  <c:v>90</c:v>
                </c:pt>
                <c:pt idx="7">
                  <c:v>45</c:v>
                </c:pt>
                <c:pt idx="8">
                  <c:v>80</c:v>
                </c:pt>
                <c:pt idx="9">
                  <c:v>100</c:v>
                </c:pt>
              </c:numCache>
            </c:numRef>
          </c:xVal>
          <c:yVal>
            <c:numRef>
              <c:f>'6.6.1.1-5'!$B$2:$B$11</c:f>
              <c:numCache>
                <c:formatCode>General</c:formatCode>
                <c:ptCount val="10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13</c:v>
                </c:pt>
                <c:pt idx="5">
                  <c:v>3</c:v>
                </c:pt>
                <c:pt idx="6">
                  <c:v>8</c:v>
                </c:pt>
                <c:pt idx="7">
                  <c:v>6</c:v>
                </c:pt>
                <c:pt idx="8">
                  <c:v>9</c:v>
                </c:pt>
                <c:pt idx="9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BD9-4DA6-BCB7-097E66ED08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2614656"/>
        <c:axId val="162645504"/>
      </c:scatterChart>
      <c:valAx>
        <c:axId val="162614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Revenue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62645504"/>
        <c:crosses val="autoZero"/>
        <c:crossBetween val="midCat"/>
      </c:valAx>
      <c:valAx>
        <c:axId val="1626455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Profit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626146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Revenue (X)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'6.6.1.1-5'!$A$2:$A$11</c:f>
              <c:numCache>
                <c:formatCode>General</c:formatCode>
                <c:ptCount val="10"/>
                <c:pt idx="0">
                  <c:v>25</c:v>
                </c:pt>
                <c:pt idx="1">
                  <c:v>10</c:v>
                </c:pt>
                <c:pt idx="2">
                  <c:v>13</c:v>
                </c:pt>
                <c:pt idx="3">
                  <c:v>45</c:v>
                </c:pt>
                <c:pt idx="4">
                  <c:v>128</c:v>
                </c:pt>
                <c:pt idx="5">
                  <c:v>35</c:v>
                </c:pt>
                <c:pt idx="6">
                  <c:v>90</c:v>
                </c:pt>
                <c:pt idx="7">
                  <c:v>45</c:v>
                </c:pt>
                <c:pt idx="8">
                  <c:v>80</c:v>
                </c:pt>
                <c:pt idx="9">
                  <c:v>100</c:v>
                </c:pt>
              </c:numCache>
            </c:numRef>
          </c:xVal>
          <c:yVal>
            <c:numRef>
              <c:f>'6.6.3.2-5'!$C$25:$C$34</c:f>
              <c:numCache>
                <c:formatCode>General</c:formatCode>
                <c:ptCount val="10"/>
                <c:pt idx="0">
                  <c:v>-0.41799721778128429</c:v>
                </c:pt>
                <c:pt idx="1">
                  <c:v>0.11564894213400301</c:v>
                </c:pt>
                <c:pt idx="2">
                  <c:v>-0.19108028984905445</c:v>
                </c:pt>
                <c:pt idx="3">
                  <c:v>-0.46285876433500128</c:v>
                </c:pt>
                <c:pt idx="4">
                  <c:v>5.0965817467073293E-2</c:v>
                </c:pt>
                <c:pt idx="5">
                  <c:v>-0.44042799105814279</c:v>
                </c:pt>
                <c:pt idx="6">
                  <c:v>-1.0637972440808632</c:v>
                </c:pt>
                <c:pt idx="7">
                  <c:v>1.5371412356649987</c:v>
                </c:pt>
                <c:pt idx="8">
                  <c:v>0.95863352919599265</c:v>
                </c:pt>
                <c:pt idx="9">
                  <c:v>-8.6228017357722564E-2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BC-451D-8343-083C903E30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6083472"/>
        <c:axId val="646082816"/>
      </c:scatterChart>
      <c:valAx>
        <c:axId val="646083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Revenue (X)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46082816"/>
        <c:crosses val="autoZero"/>
        <c:crossBetween val="midCat"/>
      </c:valAx>
      <c:valAx>
        <c:axId val="6460828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460834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Revenue (X)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Profit (Y)</c:v>
          </c:tx>
          <c:spPr>
            <a:ln w="28575">
              <a:noFill/>
            </a:ln>
          </c:spPr>
          <c:xVal>
            <c:numRef>
              <c:f>'6.6.1.1-5'!$A$2:$A$11</c:f>
              <c:numCache>
                <c:formatCode>General</c:formatCode>
                <c:ptCount val="10"/>
                <c:pt idx="0">
                  <c:v>25</c:v>
                </c:pt>
                <c:pt idx="1">
                  <c:v>10</c:v>
                </c:pt>
                <c:pt idx="2">
                  <c:v>13</c:v>
                </c:pt>
                <c:pt idx="3">
                  <c:v>45</c:v>
                </c:pt>
                <c:pt idx="4">
                  <c:v>128</c:v>
                </c:pt>
                <c:pt idx="5">
                  <c:v>35</c:v>
                </c:pt>
                <c:pt idx="6">
                  <c:v>90</c:v>
                </c:pt>
                <c:pt idx="7">
                  <c:v>45</c:v>
                </c:pt>
                <c:pt idx="8">
                  <c:v>80</c:v>
                </c:pt>
                <c:pt idx="9">
                  <c:v>100</c:v>
                </c:pt>
              </c:numCache>
            </c:numRef>
          </c:xVal>
          <c:yVal>
            <c:numRef>
              <c:f>'6.6.1.1-5'!$B$2:$B$11</c:f>
              <c:numCache>
                <c:formatCode>General</c:formatCode>
                <c:ptCount val="10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13</c:v>
                </c:pt>
                <c:pt idx="5">
                  <c:v>3</c:v>
                </c:pt>
                <c:pt idx="6">
                  <c:v>8</c:v>
                </c:pt>
                <c:pt idx="7">
                  <c:v>6</c:v>
                </c:pt>
                <c:pt idx="8">
                  <c:v>9</c:v>
                </c:pt>
                <c:pt idx="9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D6C-49D4-BFD7-CA874F1F9ECF}"/>
            </c:ext>
          </c:extLst>
        </c:ser>
        <c:ser>
          <c:idx val="1"/>
          <c:order val="1"/>
          <c:tx>
            <c:v>Predicted Profit (Y)</c:v>
          </c:tx>
          <c:spPr>
            <a:ln w="28575">
              <a:noFill/>
            </a:ln>
          </c:spPr>
          <c:xVal>
            <c:numRef>
              <c:f>'6.6.1.1-5'!$A$2:$A$11</c:f>
              <c:numCache>
                <c:formatCode>General</c:formatCode>
                <c:ptCount val="10"/>
                <c:pt idx="0">
                  <c:v>25</c:v>
                </c:pt>
                <c:pt idx="1">
                  <c:v>10</c:v>
                </c:pt>
                <c:pt idx="2">
                  <c:v>13</c:v>
                </c:pt>
                <c:pt idx="3">
                  <c:v>45</c:v>
                </c:pt>
                <c:pt idx="4">
                  <c:v>128</c:v>
                </c:pt>
                <c:pt idx="5">
                  <c:v>35</c:v>
                </c:pt>
                <c:pt idx="6">
                  <c:v>90</c:v>
                </c:pt>
                <c:pt idx="7">
                  <c:v>45</c:v>
                </c:pt>
                <c:pt idx="8">
                  <c:v>80</c:v>
                </c:pt>
                <c:pt idx="9">
                  <c:v>100</c:v>
                </c:pt>
              </c:numCache>
            </c:numRef>
          </c:xVal>
          <c:yVal>
            <c:numRef>
              <c:f>'6.6.3.2-5'!$B$25:$B$34</c:f>
              <c:numCache>
                <c:formatCode>General</c:formatCode>
                <c:ptCount val="10"/>
                <c:pt idx="0">
                  <c:v>2.4179972177812843</c:v>
                </c:pt>
                <c:pt idx="1">
                  <c:v>0.88435105786599699</c:v>
                </c:pt>
                <c:pt idx="2">
                  <c:v>1.1910802898490545</c:v>
                </c:pt>
                <c:pt idx="3">
                  <c:v>4.4628587643350013</c:v>
                </c:pt>
                <c:pt idx="4">
                  <c:v>12.949034182532927</c:v>
                </c:pt>
                <c:pt idx="5">
                  <c:v>3.4404279910581428</c:v>
                </c:pt>
                <c:pt idx="6">
                  <c:v>9.0637972440808632</c:v>
                </c:pt>
                <c:pt idx="7">
                  <c:v>4.4628587643350013</c:v>
                </c:pt>
                <c:pt idx="8">
                  <c:v>8.0413664708040073</c:v>
                </c:pt>
                <c:pt idx="9">
                  <c:v>10.086228017357723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D6C-49D4-BFD7-CA874F1F9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6089048"/>
        <c:axId val="646115288"/>
      </c:scatterChart>
      <c:valAx>
        <c:axId val="646089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Revenue (X)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46115288"/>
        <c:crosses val="autoZero"/>
        <c:crossBetween val="midCat"/>
      </c:valAx>
      <c:valAx>
        <c:axId val="6461152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Profit (Y)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4608904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Normal Probability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'6.6.3.2-5'!$F$25:$F$34</c:f>
              <c:numCache>
                <c:formatCode>General</c:formatCode>
                <c:ptCount val="10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35</c:v>
                </c:pt>
                <c:pt idx="4">
                  <c:v>45</c:v>
                </c:pt>
                <c:pt idx="5">
                  <c:v>55</c:v>
                </c:pt>
                <c:pt idx="6">
                  <c:v>65</c:v>
                </c:pt>
                <c:pt idx="7">
                  <c:v>75</c:v>
                </c:pt>
                <c:pt idx="8">
                  <c:v>85</c:v>
                </c:pt>
                <c:pt idx="9">
                  <c:v>95</c:v>
                </c:pt>
              </c:numCache>
            </c:numRef>
          </c:xVal>
          <c:yVal>
            <c:numRef>
              <c:f>'6.6.3.2-5'!$G$25:$G$34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6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C6B-47C6-9E2B-AB22B3C3C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6182200"/>
        <c:axId val="646083472"/>
      </c:scatterChart>
      <c:valAx>
        <c:axId val="646182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Sample Percentile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46083472"/>
        <c:crosses val="autoZero"/>
        <c:crossBetween val="midCat"/>
      </c:valAx>
      <c:valAx>
        <c:axId val="6460834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Profit (Y)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461822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Pattern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'6.1.1-4'!$C$1</c:f>
              <c:strCache>
                <c:ptCount val="1"/>
                <c:pt idx="0">
                  <c:v>Pattern</c:v>
                </c:pt>
              </c:strCache>
            </c:strRef>
          </c:tx>
          <c:marker>
            <c:symbol val="none"/>
          </c:marker>
          <c:val>
            <c:numRef>
              <c:f>'6.1.1-4'!$C$2:$C$16</c:f>
              <c:numCache>
                <c:formatCode>General</c:formatCode>
                <c:ptCount val="15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3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7">
                  <c:v>3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1">
                  <c:v>3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BC-4BBF-97B8-8D7113F3F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907072"/>
        <c:axId val="119908608"/>
      </c:lineChart>
      <c:catAx>
        <c:axId val="119907072"/>
        <c:scaling>
          <c:orientation val="minMax"/>
        </c:scaling>
        <c:delete val="0"/>
        <c:axPos val="b"/>
        <c:majorTickMark val="out"/>
        <c:minorTickMark val="none"/>
        <c:tickLblPos val="nextTo"/>
        <c:crossAx val="119908608"/>
        <c:crosses val="autoZero"/>
        <c:auto val="1"/>
        <c:lblAlgn val="ctr"/>
        <c:lblOffset val="100"/>
        <c:noMultiLvlLbl val="0"/>
      </c:catAx>
      <c:valAx>
        <c:axId val="1199086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9907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'6.6.4.1-2'!$B$2</c:f>
              <c:strCache>
                <c:ptCount val="1"/>
                <c:pt idx="0">
                  <c:v>Profit (Y)</c:v>
                </c:pt>
              </c:strCache>
            </c:strRef>
          </c:tx>
          <c:marker>
            <c:symbol val="none"/>
          </c:marker>
          <c:val>
            <c:numRef>
              <c:f>'6.6.4.1-2'!$B$3:$B$12</c:f>
              <c:numCache>
                <c:formatCode>General</c:formatCode>
                <c:ptCount val="10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13</c:v>
                </c:pt>
                <c:pt idx="5">
                  <c:v>3</c:v>
                </c:pt>
                <c:pt idx="6">
                  <c:v>8</c:v>
                </c:pt>
                <c:pt idx="7">
                  <c:v>6</c:v>
                </c:pt>
                <c:pt idx="8">
                  <c:v>9</c:v>
                </c:pt>
                <c:pt idx="9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E0-4F2E-9F24-120BAA442E72}"/>
            </c:ext>
          </c:extLst>
        </c:ser>
        <c:ser>
          <c:idx val="1"/>
          <c:order val="1"/>
          <c:tx>
            <c:strRef>
              <c:f>'6.6.4.1-2'!$C$2</c:f>
              <c:strCache>
                <c:ptCount val="1"/>
                <c:pt idx="0">
                  <c:v>Trend (ŷ)</c:v>
                </c:pt>
              </c:strCache>
            </c:strRef>
          </c:tx>
          <c:marker>
            <c:symbol val="none"/>
          </c:marker>
          <c:val>
            <c:numRef>
              <c:f>'6.6.4.1-2'!$C$3:$C$12</c:f>
              <c:numCache>
                <c:formatCode>0.000</c:formatCode>
                <c:ptCount val="10"/>
                <c:pt idx="0">
                  <c:v>1.472727272727272</c:v>
                </c:pt>
                <c:pt idx="1">
                  <c:v>2.4121212121212117</c:v>
                </c:pt>
                <c:pt idx="2">
                  <c:v>3.3515151515151516</c:v>
                </c:pt>
                <c:pt idx="3">
                  <c:v>4.290909090909091</c:v>
                </c:pt>
                <c:pt idx="4">
                  <c:v>5.2303030303030305</c:v>
                </c:pt>
                <c:pt idx="5">
                  <c:v>6.1696969696969708</c:v>
                </c:pt>
                <c:pt idx="6">
                  <c:v>7.1090909090909102</c:v>
                </c:pt>
                <c:pt idx="7">
                  <c:v>8.0484848484848506</c:v>
                </c:pt>
                <c:pt idx="8">
                  <c:v>8.9878787878787882</c:v>
                </c:pt>
                <c:pt idx="9">
                  <c:v>9.9272727272727295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E0-4F2E-9F24-120BAA442E72}"/>
            </c:ext>
          </c:extLst>
        </c:ser>
        <c:ser>
          <c:idx val="2"/>
          <c:order val="2"/>
          <c:tx>
            <c:strRef>
              <c:f>'6.6.4.1-2'!$E$2</c:f>
              <c:strCache>
                <c:ptCount val="1"/>
                <c:pt idx="0">
                  <c:v>Interval +</c:v>
                </c:pt>
              </c:strCache>
            </c:strRef>
          </c:tx>
          <c:marker>
            <c:symbol val="none"/>
          </c:marker>
          <c:val>
            <c:numRef>
              <c:f>'6.6.4.1-2'!$E$3:$E$12</c:f>
              <c:numCache>
                <c:formatCode>0.000</c:formatCode>
                <c:ptCount val="10"/>
                <c:pt idx="0">
                  <c:v>8.7722149841684267</c:v>
                </c:pt>
                <c:pt idx="1">
                  <c:v>9.7116089235623662</c:v>
                </c:pt>
                <c:pt idx="2">
                  <c:v>10.651002862956307</c:v>
                </c:pt>
                <c:pt idx="3">
                  <c:v>11.590396802350245</c:v>
                </c:pt>
                <c:pt idx="4">
                  <c:v>12.529790741744186</c:v>
                </c:pt>
                <c:pt idx="5">
                  <c:v>13.469184681138126</c:v>
                </c:pt>
                <c:pt idx="6">
                  <c:v>14.408578620532065</c:v>
                </c:pt>
                <c:pt idx="7">
                  <c:v>15.347972559926006</c:v>
                </c:pt>
                <c:pt idx="8">
                  <c:v>16.287366499319944</c:v>
                </c:pt>
                <c:pt idx="9">
                  <c:v>17.226760438713885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E0-4F2E-9F24-120BAA442E72}"/>
            </c:ext>
          </c:extLst>
        </c:ser>
        <c:ser>
          <c:idx val="3"/>
          <c:order val="3"/>
          <c:tx>
            <c:strRef>
              <c:f>'6.6.4.1-2'!$F$2</c:f>
              <c:strCache>
                <c:ptCount val="1"/>
                <c:pt idx="0">
                  <c:v>Interval -</c:v>
                </c:pt>
              </c:strCache>
            </c:strRef>
          </c:tx>
          <c:marker>
            <c:symbol val="none"/>
          </c:marker>
          <c:val>
            <c:numRef>
              <c:f>'6.6.4.1-2'!$F$3:$F$12</c:f>
              <c:numCache>
                <c:formatCode>0.000</c:formatCode>
                <c:ptCount val="10"/>
                <c:pt idx="0">
                  <c:v>-5.8267604387138832</c:v>
                </c:pt>
                <c:pt idx="1">
                  <c:v>-4.8873664993199437</c:v>
                </c:pt>
                <c:pt idx="2">
                  <c:v>-3.9479725599260034</c:v>
                </c:pt>
                <c:pt idx="3">
                  <c:v>-3.0085786205320639</c:v>
                </c:pt>
                <c:pt idx="4">
                  <c:v>-2.0691846811381245</c:v>
                </c:pt>
                <c:pt idx="5">
                  <c:v>-1.1297907417441841</c:v>
                </c:pt>
                <c:pt idx="6">
                  <c:v>-0.1903968023502447</c:v>
                </c:pt>
                <c:pt idx="7">
                  <c:v>0.74899713704369564</c:v>
                </c:pt>
                <c:pt idx="8">
                  <c:v>1.6883910764376333</c:v>
                </c:pt>
                <c:pt idx="9">
                  <c:v>2.6277850158315745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E0-4F2E-9F24-120BAA442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835072"/>
        <c:axId val="162840960"/>
      </c:lineChart>
      <c:catAx>
        <c:axId val="162835072"/>
        <c:scaling>
          <c:orientation val="minMax"/>
        </c:scaling>
        <c:delete val="0"/>
        <c:axPos val="b"/>
        <c:majorTickMark val="out"/>
        <c:minorTickMark val="none"/>
        <c:tickLblPos val="nextTo"/>
        <c:crossAx val="162840960"/>
        <c:crosses val="autoZero"/>
        <c:auto val="1"/>
        <c:lblAlgn val="ctr"/>
        <c:lblOffset val="100"/>
        <c:noMultiLvlLbl val="0"/>
      </c:catAx>
      <c:valAx>
        <c:axId val="1628409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8350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'6.6.5.1-5'!$B$2</c:f>
              <c:strCache>
                <c:ptCount val="1"/>
                <c:pt idx="0">
                  <c:v>Profit (Y)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'6.6.5.1-5'!$B$3:$B$17</c:f>
              <c:numCache>
                <c:formatCode>General</c:formatCode>
                <c:ptCount val="15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13</c:v>
                </c:pt>
                <c:pt idx="5">
                  <c:v>3</c:v>
                </c:pt>
                <c:pt idx="6">
                  <c:v>8</c:v>
                </c:pt>
                <c:pt idx="7">
                  <c:v>6</c:v>
                </c:pt>
                <c:pt idx="8">
                  <c:v>9</c:v>
                </c:pt>
                <c:pt idx="9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E3-48E4-87BF-CE2C5A2A586A}"/>
            </c:ext>
          </c:extLst>
        </c:ser>
        <c:ser>
          <c:idx val="1"/>
          <c:order val="1"/>
          <c:tx>
            <c:strRef>
              <c:f>'6.6.5.1-5'!$C$2</c:f>
              <c:strCache>
                <c:ptCount val="1"/>
                <c:pt idx="0">
                  <c:v>Trend (ŷ)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'6.6.5.1-5'!$C$3:$C$17</c:f>
              <c:numCache>
                <c:formatCode>0.000</c:formatCode>
                <c:ptCount val="15"/>
                <c:pt idx="0">
                  <c:v>1.472727272727272</c:v>
                </c:pt>
                <c:pt idx="1">
                  <c:v>2.4121212121212117</c:v>
                </c:pt>
                <c:pt idx="2">
                  <c:v>3.3515151515151516</c:v>
                </c:pt>
                <c:pt idx="3">
                  <c:v>4.290909090909091</c:v>
                </c:pt>
                <c:pt idx="4">
                  <c:v>5.2303030303030305</c:v>
                </c:pt>
                <c:pt idx="5">
                  <c:v>6.1696969696969708</c:v>
                </c:pt>
                <c:pt idx="6">
                  <c:v>7.1090909090909102</c:v>
                </c:pt>
                <c:pt idx="7">
                  <c:v>8.0484848484848506</c:v>
                </c:pt>
                <c:pt idx="8">
                  <c:v>8.9878787878787882</c:v>
                </c:pt>
                <c:pt idx="9">
                  <c:v>9.9272727272727295</c:v>
                </c:pt>
                <c:pt idx="10">
                  <c:v>10.866666666666667</c:v>
                </c:pt>
                <c:pt idx="11">
                  <c:v>11.806060606060608</c:v>
                </c:pt>
                <c:pt idx="12">
                  <c:v>12.74545454545455</c:v>
                </c:pt>
                <c:pt idx="13">
                  <c:v>13.684848484848487</c:v>
                </c:pt>
                <c:pt idx="14">
                  <c:v>14.624242424242428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E3-48E4-87BF-CE2C5A2A586A}"/>
            </c:ext>
          </c:extLst>
        </c:ser>
        <c:ser>
          <c:idx val="2"/>
          <c:order val="2"/>
          <c:tx>
            <c:strRef>
              <c:f>'6.6.5.1-5'!$K$2</c:f>
              <c:strCache>
                <c:ptCount val="1"/>
                <c:pt idx="0">
                  <c:v>UL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'6.6.5.1-5'!$K$3:$K$17</c:f>
              <c:numCache>
                <c:formatCode>0.000</c:formatCode>
                <c:ptCount val="15"/>
                <c:pt idx="0">
                  <c:v>8.2671816079904126</c:v>
                </c:pt>
                <c:pt idx="1">
                  <c:v>9.1432779408968781</c:v>
                </c:pt>
                <c:pt idx="2">
                  <c:v>10.034805269590702</c:v>
                </c:pt>
                <c:pt idx="3">
                  <c:v>10.942096759216852</c:v>
                </c:pt>
                <c:pt idx="4">
                  <c:v>11.865381228590575</c:v>
                </c:pt>
                <c:pt idx="5">
                  <c:v>12.804775167984516</c:v>
                </c:pt>
                <c:pt idx="6">
                  <c:v>13.760278577398672</c:v>
                </c:pt>
                <c:pt idx="7">
                  <c:v>14.731774966560401</c:v>
                </c:pt>
                <c:pt idx="8">
                  <c:v>15.719035516654454</c:v>
                </c:pt>
                <c:pt idx="9">
                  <c:v>16.721727062535869</c:v>
                </c:pt>
                <c:pt idx="10">
                  <c:v>17.739423262259791</c:v>
                </c:pt>
                <c:pt idx="11">
                  <c:v>18.771618116570444</c:v>
                </c:pt>
                <c:pt idx="12">
                  <c:v>19.817740904463903</c:v>
                </c:pt>
                <c:pt idx="13">
                  <c:v>20.877171611425748</c:v>
                </c:pt>
                <c:pt idx="14">
                  <c:v>21.949256026415803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E3-48E4-87BF-CE2C5A2A586A}"/>
            </c:ext>
          </c:extLst>
        </c:ser>
        <c:ser>
          <c:idx val="3"/>
          <c:order val="3"/>
          <c:tx>
            <c:strRef>
              <c:f>'6.6.5.1-5'!$L$2</c:f>
              <c:strCache>
                <c:ptCount val="1"/>
                <c:pt idx="0">
                  <c:v>LL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'6.6.5.1-5'!$L$3:$L$17</c:f>
              <c:numCache>
                <c:formatCode>0.000</c:formatCode>
                <c:ptCount val="15"/>
                <c:pt idx="0">
                  <c:v>-5.321727062535869</c:v>
                </c:pt>
                <c:pt idx="1">
                  <c:v>-4.3190355166544538</c:v>
                </c:pt>
                <c:pt idx="2">
                  <c:v>-3.3317749665604</c:v>
                </c:pt>
                <c:pt idx="3">
                  <c:v>-2.3602785773986712</c:v>
                </c:pt>
                <c:pt idx="4">
                  <c:v>-1.4047751679845142</c:v>
                </c:pt>
                <c:pt idx="5">
                  <c:v>-0.46538122859057385</c:v>
                </c:pt>
                <c:pt idx="6">
                  <c:v>0.45790324078314804</c:v>
                </c:pt>
                <c:pt idx="7">
                  <c:v>1.3651947304092991</c:v>
                </c:pt>
                <c:pt idx="8">
                  <c:v>2.2567220591031223</c:v>
                </c:pt>
                <c:pt idx="9">
                  <c:v>3.1328183920095887</c:v>
                </c:pt>
                <c:pt idx="10">
                  <c:v>3.9939100710735431</c:v>
                </c:pt>
                <c:pt idx="11">
                  <c:v>4.8405030955507709</c:v>
                </c:pt>
                <c:pt idx="12">
                  <c:v>5.6731681864451948</c:v>
                </c:pt>
                <c:pt idx="13">
                  <c:v>6.4925253582712266</c:v>
                </c:pt>
                <c:pt idx="14">
                  <c:v>7.2992288220690549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E3-48E4-87BF-CE2C5A2A5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1646840"/>
        <c:axId val="651647496"/>
      </c:lineChart>
      <c:catAx>
        <c:axId val="6516468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1647496"/>
        <c:crosses val="autoZero"/>
        <c:auto val="1"/>
        <c:lblAlgn val="ctr"/>
        <c:lblOffset val="100"/>
        <c:noMultiLvlLbl val="0"/>
      </c:catAx>
      <c:valAx>
        <c:axId val="651647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1646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'6.6.6.1-3'!$B$1</c:f>
              <c:strCache>
                <c:ptCount val="1"/>
                <c:pt idx="0">
                  <c:v>Profit (Y)</c:v>
                </c:pt>
              </c:strCache>
            </c:strRef>
          </c:tx>
          <c:marker>
            <c:symbol val="none"/>
          </c:marker>
          <c:trendline>
            <c:trendlineType val="linear"/>
            <c:dispRSqr val="0"/>
            <c:dispEq val="1"/>
            <c:trendlineLbl>
              <c:layout>
                <c:manualLayout>
                  <c:x val="-8.8783926909610345E-2"/>
                  <c:y val="-0.24500792250519793"/>
                </c:manualLayout>
              </c:layout>
              <c:numFmt formatCode="General" sourceLinked="0"/>
            </c:trendlineLbl>
          </c:trendline>
          <c:val>
            <c:numRef>
              <c:f>'6.6.6.1-3'!$B$2:$B$16</c:f>
              <c:numCache>
                <c:formatCode>General</c:formatCode>
                <c:ptCount val="15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13</c:v>
                </c:pt>
                <c:pt idx="5">
                  <c:v>3</c:v>
                </c:pt>
                <c:pt idx="6">
                  <c:v>8</c:v>
                </c:pt>
                <c:pt idx="7">
                  <c:v>6</c:v>
                </c:pt>
                <c:pt idx="8">
                  <c:v>9</c:v>
                </c:pt>
                <c:pt idx="9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41-4E7E-A43B-E46D28128F6E}"/>
            </c:ext>
          </c:extLst>
        </c:ser>
        <c:ser>
          <c:idx val="1"/>
          <c:order val="1"/>
          <c:tx>
            <c:strRef>
              <c:f>'6.6.6.1-3'!$G$1</c:f>
              <c:strCache>
                <c:ptCount val="1"/>
                <c:pt idx="0">
                  <c:v>Interval +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val>
            <c:numRef>
              <c:f>'6.6.6.1-3'!$G$2:$G$16</c:f>
              <c:numCache>
                <c:formatCode>0.0000</c:formatCode>
                <c:ptCount val="15"/>
                <c:pt idx="0">
                  <c:v>10.203204257099534</c:v>
                </c:pt>
                <c:pt idx="1">
                  <c:v>10.788894085189982</c:v>
                </c:pt>
                <c:pt idx="2">
                  <c:v>11.452882030704497</c:v>
                </c:pt>
                <c:pt idx="3">
                  <c:v>12.203348222263571</c:v>
                </c:pt>
                <c:pt idx="4">
                  <c:v>13.046566002815624</c:v>
                </c:pt>
                <c:pt idx="5">
                  <c:v>13.985959942209563</c:v>
                </c:pt>
                <c:pt idx="6">
                  <c:v>15.02153004044539</c:v>
                </c:pt>
                <c:pt idx="7">
                  <c:v>16.149851727674196</c:v>
                </c:pt>
                <c:pt idx="8">
                  <c:v>17.364651660947558</c:v>
                </c:pt>
                <c:pt idx="9">
                  <c:v>18.657749711644989</c:v>
                </c:pt>
                <c:pt idx="10">
                  <c:v>20.020073635344779</c:v>
                </c:pt>
                <c:pt idx="11">
                  <c:v>21.442513067716526</c:v>
                </c:pt>
                <c:pt idx="12">
                  <c:v>22.916506561307294</c:v>
                </c:pt>
                <c:pt idx="13">
                  <c:v>24.434365140239464</c:v>
                </c:pt>
                <c:pt idx="14">
                  <c:v>25.989392827637545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41-4E7E-A43B-E46D28128F6E}"/>
            </c:ext>
          </c:extLst>
        </c:ser>
        <c:ser>
          <c:idx val="2"/>
          <c:order val="2"/>
          <c:tx>
            <c:strRef>
              <c:f>'6.6.6.1-3'!$H$1</c:f>
              <c:strCache>
                <c:ptCount val="1"/>
                <c:pt idx="0">
                  <c:v>Interval -</c:v>
                </c:pt>
              </c:strCache>
            </c:strRef>
          </c:tx>
          <c:marker>
            <c:symbol val="none"/>
          </c:marker>
          <c:val>
            <c:numRef>
              <c:f>'6.6.6.1-3'!$H$2:$H$16</c:f>
              <c:numCache>
                <c:formatCode>0.0000</c:formatCode>
                <c:ptCount val="15"/>
                <c:pt idx="0">
                  <c:v>-7.2577497116449896</c:v>
                </c:pt>
                <c:pt idx="1">
                  <c:v>-5.9646516609475579</c:v>
                </c:pt>
                <c:pt idx="2">
                  <c:v>-4.7498517276741943</c:v>
                </c:pt>
                <c:pt idx="3">
                  <c:v>-3.6215300404453883</c:v>
                </c:pt>
                <c:pt idx="4">
                  <c:v>-2.5859599422095618</c:v>
                </c:pt>
                <c:pt idx="5">
                  <c:v>-1.6465660028156215</c:v>
                </c:pt>
                <c:pt idx="6">
                  <c:v>-0.80334822226356906</c:v>
                </c:pt>
                <c:pt idx="7">
                  <c:v>-5.2882030704495264E-2</c:v>
                </c:pt>
                <c:pt idx="8">
                  <c:v>0.61110591481001819</c:v>
                </c:pt>
                <c:pt idx="9">
                  <c:v>1.1967957429004681</c:v>
                </c:pt>
                <c:pt idx="10">
                  <c:v>1.7132596979885566</c:v>
                </c:pt>
                <c:pt idx="11">
                  <c:v>2.1696081444046893</c:v>
                </c:pt>
                <c:pt idx="12">
                  <c:v>2.5744025296018069</c:v>
                </c:pt>
                <c:pt idx="13">
                  <c:v>2.9353318294575104</c:v>
                </c:pt>
                <c:pt idx="14">
                  <c:v>3.2590920208473104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41-4E7E-A43B-E46D28128F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3064064"/>
        <c:axId val="163082240"/>
      </c:lineChart>
      <c:catAx>
        <c:axId val="163064064"/>
        <c:scaling>
          <c:orientation val="minMax"/>
        </c:scaling>
        <c:delete val="0"/>
        <c:axPos val="b"/>
        <c:majorTickMark val="out"/>
        <c:minorTickMark val="none"/>
        <c:tickLblPos val="nextTo"/>
        <c:crossAx val="163082240"/>
        <c:crosses val="autoZero"/>
        <c:auto val="1"/>
        <c:lblAlgn val="ctr"/>
        <c:lblOffset val="100"/>
        <c:noMultiLvlLbl val="0"/>
      </c:catAx>
      <c:valAx>
        <c:axId val="1630822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30640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DJI and NASDAQ</a:t>
            </a:r>
            <a:r>
              <a:rPr lang="en-US" baseline="0"/>
              <a:t> closing values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'6.7.1-3'!$C$1</c:f>
              <c:strCache>
                <c:ptCount val="1"/>
                <c:pt idx="0">
                  <c:v>DJI Adj Close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'6.7.1-3'!$C$2:$C$51</c:f>
              <c:numCache>
                <c:formatCode>0.00</c:formatCode>
                <c:ptCount val="50"/>
                <c:pt idx="0">
                  <c:v>17409.720702999999</c:v>
                </c:pt>
                <c:pt idx="1">
                  <c:v>17694.679688</c:v>
                </c:pt>
                <c:pt idx="2">
                  <c:v>17929.990234000001</c:v>
                </c:pt>
                <c:pt idx="3">
                  <c:v>17949.369140999999</c:v>
                </c:pt>
                <c:pt idx="4">
                  <c:v>17840.619140999999</c:v>
                </c:pt>
                <c:pt idx="5">
                  <c:v>17918.619140999999</c:v>
                </c:pt>
                <c:pt idx="6">
                  <c:v>17895.880859000001</c:v>
                </c:pt>
                <c:pt idx="7">
                  <c:v>18146.740234000001</c:v>
                </c:pt>
                <c:pt idx="8">
                  <c:v>18226.929688</c:v>
                </c:pt>
                <c:pt idx="9">
                  <c:v>18347.669922000001</c:v>
                </c:pt>
                <c:pt idx="10">
                  <c:v>18372.119140999999</c:v>
                </c:pt>
                <c:pt idx="11">
                  <c:v>18506.410156000002</c:v>
                </c:pt>
                <c:pt idx="12">
                  <c:v>18516.550781000002</c:v>
                </c:pt>
                <c:pt idx="13">
                  <c:v>18533.050781000002</c:v>
                </c:pt>
                <c:pt idx="14">
                  <c:v>18559.009765999999</c:v>
                </c:pt>
                <c:pt idx="15">
                  <c:v>18595.029297000001</c:v>
                </c:pt>
                <c:pt idx="16">
                  <c:v>18517.230468999998</c:v>
                </c:pt>
                <c:pt idx="17">
                  <c:v>18570.849609000001</c:v>
                </c:pt>
                <c:pt idx="18">
                  <c:v>18493.060547000001</c:v>
                </c:pt>
                <c:pt idx="19">
                  <c:v>18473.75</c:v>
                </c:pt>
                <c:pt idx="20">
                  <c:v>18472.169922000001</c:v>
                </c:pt>
                <c:pt idx="21">
                  <c:v>18456.349609000001</c:v>
                </c:pt>
                <c:pt idx="22">
                  <c:v>18432.240234000001</c:v>
                </c:pt>
                <c:pt idx="23">
                  <c:v>18404.509765999999</c:v>
                </c:pt>
                <c:pt idx="24">
                  <c:v>18313.769531000002</c:v>
                </c:pt>
                <c:pt idx="25">
                  <c:v>18355</c:v>
                </c:pt>
                <c:pt idx="26">
                  <c:v>18352.050781000002</c:v>
                </c:pt>
                <c:pt idx="27">
                  <c:v>18543.529297000001</c:v>
                </c:pt>
                <c:pt idx="28">
                  <c:v>18529.289062</c:v>
                </c:pt>
                <c:pt idx="29">
                  <c:v>18533.050781000002</c:v>
                </c:pt>
                <c:pt idx="30">
                  <c:v>18495.660156000002</c:v>
                </c:pt>
                <c:pt idx="31">
                  <c:v>18613.519531000002</c:v>
                </c:pt>
                <c:pt idx="32">
                  <c:v>18576.470702999999</c:v>
                </c:pt>
                <c:pt idx="33">
                  <c:v>18636.050781000002</c:v>
                </c:pt>
                <c:pt idx="34">
                  <c:v>18552.019531000002</c:v>
                </c:pt>
                <c:pt idx="35">
                  <c:v>18573.939452999999</c:v>
                </c:pt>
                <c:pt idx="36">
                  <c:v>18597.699218999998</c:v>
                </c:pt>
                <c:pt idx="37">
                  <c:v>18552.570312</c:v>
                </c:pt>
                <c:pt idx="38">
                  <c:v>18529.419922000001</c:v>
                </c:pt>
                <c:pt idx="39">
                  <c:v>18547.300781000002</c:v>
                </c:pt>
                <c:pt idx="40">
                  <c:v>18481.480468999998</c:v>
                </c:pt>
                <c:pt idx="41">
                  <c:v>18448.410156000002</c:v>
                </c:pt>
                <c:pt idx="42">
                  <c:v>18395.400390999999</c:v>
                </c:pt>
                <c:pt idx="43">
                  <c:v>18502.990234000001</c:v>
                </c:pt>
                <c:pt idx="44">
                  <c:v>18454.300781000002</c:v>
                </c:pt>
                <c:pt idx="45">
                  <c:v>18400.880859000001</c:v>
                </c:pt>
                <c:pt idx="46">
                  <c:v>18419.300781000002</c:v>
                </c:pt>
                <c:pt idx="47">
                  <c:v>18491.960938</c:v>
                </c:pt>
                <c:pt idx="48">
                  <c:v>18538.119140999999</c:v>
                </c:pt>
                <c:pt idx="49">
                  <c:v>18526.140625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08-4871-BBCE-D3098AAD4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902536"/>
        <c:axId val="723902864"/>
      </c:lineChart>
      <c:lineChart>
        <c:grouping val="standard"/>
        <c:varyColors val="0"/>
        <c:ser>
          <c:idx val="1"/>
          <c:order val="1"/>
          <c:tx>
            <c:strRef>
              <c:f>'6.7.1-3'!$B$1</c:f>
              <c:strCache>
                <c:ptCount val="1"/>
                <c:pt idx="0">
                  <c:v>NASDAQ Close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'6.7.1-3'!$B$2:$B$51</c:f>
              <c:numCache>
                <c:formatCode>0.00</c:formatCode>
                <c:ptCount val="50"/>
                <c:pt idx="0">
                  <c:v>62.599997999999999</c:v>
                </c:pt>
                <c:pt idx="1">
                  <c:v>64.089995999999999</c:v>
                </c:pt>
                <c:pt idx="2">
                  <c:v>64.669998000000007</c:v>
                </c:pt>
                <c:pt idx="3">
                  <c:v>64.769997000000004</c:v>
                </c:pt>
                <c:pt idx="4">
                  <c:v>64.589995999999999</c:v>
                </c:pt>
                <c:pt idx="5">
                  <c:v>64.739998</c:v>
                </c:pt>
                <c:pt idx="6">
                  <c:v>64.919998000000007</c:v>
                </c:pt>
                <c:pt idx="7">
                  <c:v>65.879997000000003</c:v>
                </c:pt>
                <c:pt idx="8">
                  <c:v>66.430000000000007</c:v>
                </c:pt>
                <c:pt idx="9">
                  <c:v>67.309997999999993</c:v>
                </c:pt>
                <c:pt idx="10">
                  <c:v>67.169998000000007</c:v>
                </c:pt>
                <c:pt idx="11">
                  <c:v>67.370002999999997</c:v>
                </c:pt>
                <c:pt idx="12">
                  <c:v>67.510002</c:v>
                </c:pt>
                <c:pt idx="13">
                  <c:v>67.599997999999999</c:v>
                </c:pt>
                <c:pt idx="14">
                  <c:v>68.069999999999993</c:v>
                </c:pt>
                <c:pt idx="15">
                  <c:v>67.739998</c:v>
                </c:pt>
                <c:pt idx="16">
                  <c:v>67.370002999999997</c:v>
                </c:pt>
                <c:pt idx="17">
                  <c:v>67.790001000000004</c:v>
                </c:pt>
                <c:pt idx="18">
                  <c:v>68.440002000000007</c:v>
                </c:pt>
                <c:pt idx="19">
                  <c:v>68.5</c:v>
                </c:pt>
                <c:pt idx="20">
                  <c:v>70.839995999999999</c:v>
                </c:pt>
                <c:pt idx="21">
                  <c:v>70.870002999999997</c:v>
                </c:pt>
                <c:pt idx="22">
                  <c:v>70.760002</c:v>
                </c:pt>
                <c:pt idx="23">
                  <c:v>71.419998000000007</c:v>
                </c:pt>
                <c:pt idx="24">
                  <c:v>71.199996999999996</c:v>
                </c:pt>
                <c:pt idx="25">
                  <c:v>71.529999000000004</c:v>
                </c:pt>
                <c:pt idx="26">
                  <c:v>71.430000000000007</c:v>
                </c:pt>
                <c:pt idx="27">
                  <c:v>71.180000000000007</c:v>
                </c:pt>
                <c:pt idx="28">
                  <c:v>70.5</c:v>
                </c:pt>
                <c:pt idx="29">
                  <c:v>70.230002999999996</c:v>
                </c:pt>
                <c:pt idx="30">
                  <c:v>70.319999999999993</c:v>
                </c:pt>
                <c:pt idx="31">
                  <c:v>70.029999000000004</c:v>
                </c:pt>
                <c:pt idx="32">
                  <c:v>70.150002000000001</c:v>
                </c:pt>
                <c:pt idx="33">
                  <c:v>70.089995999999999</c:v>
                </c:pt>
                <c:pt idx="34">
                  <c:v>69.279999000000004</c:v>
                </c:pt>
                <c:pt idx="35">
                  <c:v>70.209998999999996</c:v>
                </c:pt>
                <c:pt idx="36">
                  <c:v>70.319999999999993</c:v>
                </c:pt>
                <c:pt idx="37">
                  <c:v>70.440002000000007</c:v>
                </c:pt>
                <c:pt idx="38">
                  <c:v>70.480002999999996</c:v>
                </c:pt>
                <c:pt idx="39">
                  <c:v>70.559997999999993</c:v>
                </c:pt>
                <c:pt idx="40">
                  <c:v>70.279999000000004</c:v>
                </c:pt>
                <c:pt idx="41">
                  <c:v>70.620002999999997</c:v>
                </c:pt>
                <c:pt idx="42">
                  <c:v>70.489998</c:v>
                </c:pt>
                <c:pt idx="43">
                  <c:v>71.099997999999999</c:v>
                </c:pt>
                <c:pt idx="44">
                  <c:v>71.339995999999999</c:v>
                </c:pt>
                <c:pt idx="45">
                  <c:v>71.209998999999996</c:v>
                </c:pt>
                <c:pt idx="46">
                  <c:v>71.639999000000003</c:v>
                </c:pt>
                <c:pt idx="47">
                  <c:v>71.669998000000007</c:v>
                </c:pt>
                <c:pt idx="48">
                  <c:v>71.5</c:v>
                </c:pt>
                <c:pt idx="49">
                  <c:v>70.900002000000001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08-4871-BBCE-D3098AAD4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2712744"/>
        <c:axId val="712715368"/>
      </c:lineChart>
      <c:catAx>
        <c:axId val="7239025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3902864"/>
        <c:crosses val="autoZero"/>
        <c:auto val="1"/>
        <c:lblAlgn val="ctr"/>
        <c:lblOffset val="100"/>
        <c:noMultiLvlLbl val="0"/>
      </c:catAx>
      <c:valAx>
        <c:axId val="72390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3902536"/>
        <c:crosses val="autoZero"/>
        <c:crossBetween val="between"/>
      </c:valAx>
      <c:valAx>
        <c:axId val="71271536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2712744"/>
        <c:crosses val="max"/>
        <c:crossBetween val="between"/>
      </c:valAx>
      <c:catAx>
        <c:axId val="712712744"/>
        <c:scaling>
          <c:orientation val="minMax"/>
        </c:scaling>
        <c:delete val="1"/>
        <c:axPos val="b"/>
        <c:majorTickMark val="out"/>
        <c:minorTickMark val="none"/>
        <c:tickLblPos val="nextTo"/>
        <c:crossAx val="7127153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'6.7.1-3'!$C$1</c:f>
              <c:strCache>
                <c:ptCount val="1"/>
                <c:pt idx="0">
                  <c:v>DJI Adj Close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'6.7.1-3'!$B$2:$B$51</c:f>
              <c:numCache>
                <c:formatCode>0.00</c:formatCode>
                <c:ptCount val="50"/>
                <c:pt idx="0">
                  <c:v>62.599997999999999</c:v>
                </c:pt>
                <c:pt idx="1">
                  <c:v>64.089995999999999</c:v>
                </c:pt>
                <c:pt idx="2">
                  <c:v>64.669998000000007</c:v>
                </c:pt>
                <c:pt idx="3">
                  <c:v>64.769997000000004</c:v>
                </c:pt>
                <c:pt idx="4">
                  <c:v>64.589995999999999</c:v>
                </c:pt>
                <c:pt idx="5">
                  <c:v>64.739998</c:v>
                </c:pt>
                <c:pt idx="6">
                  <c:v>64.919998000000007</c:v>
                </c:pt>
                <c:pt idx="7">
                  <c:v>65.879997000000003</c:v>
                </c:pt>
                <c:pt idx="8">
                  <c:v>66.430000000000007</c:v>
                </c:pt>
                <c:pt idx="9">
                  <c:v>67.309997999999993</c:v>
                </c:pt>
                <c:pt idx="10">
                  <c:v>67.169998000000007</c:v>
                </c:pt>
                <c:pt idx="11">
                  <c:v>67.370002999999997</c:v>
                </c:pt>
                <c:pt idx="12">
                  <c:v>67.510002</c:v>
                </c:pt>
                <c:pt idx="13">
                  <c:v>67.599997999999999</c:v>
                </c:pt>
                <c:pt idx="14">
                  <c:v>68.069999999999993</c:v>
                </c:pt>
                <c:pt idx="15">
                  <c:v>67.739998</c:v>
                </c:pt>
                <c:pt idx="16">
                  <c:v>67.370002999999997</c:v>
                </c:pt>
                <c:pt idx="17">
                  <c:v>67.790001000000004</c:v>
                </c:pt>
                <c:pt idx="18">
                  <c:v>68.440002000000007</c:v>
                </c:pt>
                <c:pt idx="19">
                  <c:v>68.5</c:v>
                </c:pt>
                <c:pt idx="20">
                  <c:v>70.839995999999999</c:v>
                </c:pt>
                <c:pt idx="21">
                  <c:v>70.870002999999997</c:v>
                </c:pt>
                <c:pt idx="22">
                  <c:v>70.760002</c:v>
                </c:pt>
                <c:pt idx="23">
                  <c:v>71.419998000000007</c:v>
                </c:pt>
                <c:pt idx="24">
                  <c:v>71.199996999999996</c:v>
                </c:pt>
                <c:pt idx="25">
                  <c:v>71.529999000000004</c:v>
                </c:pt>
                <c:pt idx="26">
                  <c:v>71.430000000000007</c:v>
                </c:pt>
                <c:pt idx="27">
                  <c:v>71.180000000000007</c:v>
                </c:pt>
                <c:pt idx="28">
                  <c:v>70.5</c:v>
                </c:pt>
                <c:pt idx="29">
                  <c:v>70.230002999999996</c:v>
                </c:pt>
                <c:pt idx="30">
                  <c:v>70.319999999999993</c:v>
                </c:pt>
                <c:pt idx="31">
                  <c:v>70.029999000000004</c:v>
                </c:pt>
                <c:pt idx="32">
                  <c:v>70.150002000000001</c:v>
                </c:pt>
                <c:pt idx="33">
                  <c:v>70.089995999999999</c:v>
                </c:pt>
                <c:pt idx="34">
                  <c:v>69.279999000000004</c:v>
                </c:pt>
                <c:pt idx="35">
                  <c:v>70.209998999999996</c:v>
                </c:pt>
                <c:pt idx="36">
                  <c:v>70.319999999999993</c:v>
                </c:pt>
                <c:pt idx="37">
                  <c:v>70.440002000000007</c:v>
                </c:pt>
                <c:pt idx="38">
                  <c:v>70.480002999999996</c:v>
                </c:pt>
                <c:pt idx="39">
                  <c:v>70.559997999999993</c:v>
                </c:pt>
                <c:pt idx="40">
                  <c:v>70.279999000000004</c:v>
                </c:pt>
                <c:pt idx="41">
                  <c:v>70.620002999999997</c:v>
                </c:pt>
                <c:pt idx="42">
                  <c:v>70.489998</c:v>
                </c:pt>
                <c:pt idx="43">
                  <c:v>71.099997999999999</c:v>
                </c:pt>
                <c:pt idx="44">
                  <c:v>71.339995999999999</c:v>
                </c:pt>
                <c:pt idx="45">
                  <c:v>71.209998999999996</c:v>
                </c:pt>
                <c:pt idx="46">
                  <c:v>71.639999000000003</c:v>
                </c:pt>
                <c:pt idx="47">
                  <c:v>71.669998000000007</c:v>
                </c:pt>
                <c:pt idx="48">
                  <c:v>71.5</c:v>
                </c:pt>
                <c:pt idx="49">
                  <c:v>70.900002000000001</c:v>
                </c:pt>
              </c:numCache>
            </c:numRef>
          </c:xVal>
          <c:yVal>
            <c:numRef>
              <c:f>'6.7.1-3'!$C$2:$C$51</c:f>
              <c:numCache>
                <c:formatCode>0.00</c:formatCode>
                <c:ptCount val="50"/>
                <c:pt idx="0">
                  <c:v>17409.720702999999</c:v>
                </c:pt>
                <c:pt idx="1">
                  <c:v>17694.679688</c:v>
                </c:pt>
                <c:pt idx="2">
                  <c:v>17929.990234000001</c:v>
                </c:pt>
                <c:pt idx="3">
                  <c:v>17949.369140999999</c:v>
                </c:pt>
                <c:pt idx="4">
                  <c:v>17840.619140999999</c:v>
                </c:pt>
                <c:pt idx="5">
                  <c:v>17918.619140999999</c:v>
                </c:pt>
                <c:pt idx="6">
                  <c:v>17895.880859000001</c:v>
                </c:pt>
                <c:pt idx="7">
                  <c:v>18146.740234000001</c:v>
                </c:pt>
                <c:pt idx="8">
                  <c:v>18226.929688</c:v>
                </c:pt>
                <c:pt idx="9">
                  <c:v>18347.669922000001</c:v>
                </c:pt>
                <c:pt idx="10">
                  <c:v>18372.119140999999</c:v>
                </c:pt>
                <c:pt idx="11">
                  <c:v>18506.410156000002</c:v>
                </c:pt>
                <c:pt idx="12">
                  <c:v>18516.550781000002</c:v>
                </c:pt>
                <c:pt idx="13">
                  <c:v>18533.050781000002</c:v>
                </c:pt>
                <c:pt idx="14">
                  <c:v>18559.009765999999</c:v>
                </c:pt>
                <c:pt idx="15">
                  <c:v>18595.029297000001</c:v>
                </c:pt>
                <c:pt idx="16">
                  <c:v>18517.230468999998</c:v>
                </c:pt>
                <c:pt idx="17">
                  <c:v>18570.849609000001</c:v>
                </c:pt>
                <c:pt idx="18">
                  <c:v>18493.060547000001</c:v>
                </c:pt>
                <c:pt idx="19">
                  <c:v>18473.75</c:v>
                </c:pt>
                <c:pt idx="20">
                  <c:v>18472.169922000001</c:v>
                </c:pt>
                <c:pt idx="21">
                  <c:v>18456.349609000001</c:v>
                </c:pt>
                <c:pt idx="22">
                  <c:v>18432.240234000001</c:v>
                </c:pt>
                <c:pt idx="23">
                  <c:v>18404.509765999999</c:v>
                </c:pt>
                <c:pt idx="24">
                  <c:v>18313.769531000002</c:v>
                </c:pt>
                <c:pt idx="25">
                  <c:v>18355</c:v>
                </c:pt>
                <c:pt idx="26">
                  <c:v>18352.050781000002</c:v>
                </c:pt>
                <c:pt idx="27">
                  <c:v>18543.529297000001</c:v>
                </c:pt>
                <c:pt idx="28">
                  <c:v>18529.289062</c:v>
                </c:pt>
                <c:pt idx="29">
                  <c:v>18533.050781000002</c:v>
                </c:pt>
                <c:pt idx="30">
                  <c:v>18495.660156000002</c:v>
                </c:pt>
                <c:pt idx="31">
                  <c:v>18613.519531000002</c:v>
                </c:pt>
                <c:pt idx="32">
                  <c:v>18576.470702999999</c:v>
                </c:pt>
                <c:pt idx="33">
                  <c:v>18636.050781000002</c:v>
                </c:pt>
                <c:pt idx="34">
                  <c:v>18552.019531000002</c:v>
                </c:pt>
                <c:pt idx="35">
                  <c:v>18573.939452999999</c:v>
                </c:pt>
                <c:pt idx="36">
                  <c:v>18597.699218999998</c:v>
                </c:pt>
                <c:pt idx="37">
                  <c:v>18552.570312</c:v>
                </c:pt>
                <c:pt idx="38">
                  <c:v>18529.419922000001</c:v>
                </c:pt>
                <c:pt idx="39">
                  <c:v>18547.300781000002</c:v>
                </c:pt>
                <c:pt idx="40">
                  <c:v>18481.480468999998</c:v>
                </c:pt>
                <c:pt idx="41">
                  <c:v>18448.410156000002</c:v>
                </c:pt>
                <c:pt idx="42">
                  <c:v>18395.400390999999</c:v>
                </c:pt>
                <c:pt idx="43">
                  <c:v>18502.990234000001</c:v>
                </c:pt>
                <c:pt idx="44">
                  <c:v>18454.300781000002</c:v>
                </c:pt>
                <c:pt idx="45">
                  <c:v>18400.880859000001</c:v>
                </c:pt>
                <c:pt idx="46">
                  <c:v>18419.300781000002</c:v>
                </c:pt>
                <c:pt idx="47">
                  <c:v>18491.960938</c:v>
                </c:pt>
                <c:pt idx="48">
                  <c:v>18538.119140999999</c:v>
                </c:pt>
                <c:pt idx="49">
                  <c:v>18526.140625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E2-4E69-80DC-B5A477354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8908192"/>
        <c:axId val="728904256"/>
      </c:scatterChart>
      <c:valAx>
        <c:axId val="728908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904256"/>
        <c:crosses val="autoZero"/>
        <c:crossBetween val="midCat"/>
      </c:valAx>
      <c:valAx>
        <c:axId val="728904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908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'6.7.1-3'!$C$2:$C$51</c:f>
              <c:numCache>
                <c:formatCode>0.00</c:formatCode>
                <c:ptCount val="50"/>
                <c:pt idx="0">
                  <c:v>17409.720702999999</c:v>
                </c:pt>
                <c:pt idx="1">
                  <c:v>17694.679688</c:v>
                </c:pt>
                <c:pt idx="2">
                  <c:v>17929.990234000001</c:v>
                </c:pt>
                <c:pt idx="3">
                  <c:v>17949.369140999999</c:v>
                </c:pt>
                <c:pt idx="4">
                  <c:v>17840.619140999999</c:v>
                </c:pt>
                <c:pt idx="5">
                  <c:v>17918.619140999999</c:v>
                </c:pt>
                <c:pt idx="6">
                  <c:v>17895.880859000001</c:v>
                </c:pt>
                <c:pt idx="7">
                  <c:v>18146.740234000001</c:v>
                </c:pt>
                <c:pt idx="8">
                  <c:v>18226.929688</c:v>
                </c:pt>
                <c:pt idx="9">
                  <c:v>18347.669922000001</c:v>
                </c:pt>
                <c:pt idx="10">
                  <c:v>18372.119140999999</c:v>
                </c:pt>
                <c:pt idx="11">
                  <c:v>18506.410156000002</c:v>
                </c:pt>
                <c:pt idx="12">
                  <c:v>18516.550781000002</c:v>
                </c:pt>
                <c:pt idx="13">
                  <c:v>18533.050781000002</c:v>
                </c:pt>
                <c:pt idx="14">
                  <c:v>18559.009765999999</c:v>
                </c:pt>
                <c:pt idx="15">
                  <c:v>18595.029297000001</c:v>
                </c:pt>
                <c:pt idx="16">
                  <c:v>18517.230468999998</c:v>
                </c:pt>
                <c:pt idx="17">
                  <c:v>18570.849609000001</c:v>
                </c:pt>
                <c:pt idx="18">
                  <c:v>18493.060547000001</c:v>
                </c:pt>
                <c:pt idx="19">
                  <c:v>18473.75</c:v>
                </c:pt>
                <c:pt idx="20">
                  <c:v>18472.169922000001</c:v>
                </c:pt>
                <c:pt idx="21">
                  <c:v>18456.349609000001</c:v>
                </c:pt>
                <c:pt idx="22">
                  <c:v>18432.240234000001</c:v>
                </c:pt>
                <c:pt idx="23">
                  <c:v>18404.509765999999</c:v>
                </c:pt>
                <c:pt idx="24">
                  <c:v>18313.769531000002</c:v>
                </c:pt>
                <c:pt idx="25">
                  <c:v>18355</c:v>
                </c:pt>
                <c:pt idx="26">
                  <c:v>18352.050781000002</c:v>
                </c:pt>
                <c:pt idx="27">
                  <c:v>18543.529297000001</c:v>
                </c:pt>
                <c:pt idx="28">
                  <c:v>18529.289062</c:v>
                </c:pt>
                <c:pt idx="29">
                  <c:v>18533.050781000002</c:v>
                </c:pt>
                <c:pt idx="30">
                  <c:v>18495.660156000002</c:v>
                </c:pt>
                <c:pt idx="31">
                  <c:v>18613.519531000002</c:v>
                </c:pt>
                <c:pt idx="32">
                  <c:v>18576.470702999999</c:v>
                </c:pt>
                <c:pt idx="33">
                  <c:v>18636.050781000002</c:v>
                </c:pt>
                <c:pt idx="34">
                  <c:v>18552.019531000002</c:v>
                </c:pt>
                <c:pt idx="35">
                  <c:v>18573.939452999999</c:v>
                </c:pt>
                <c:pt idx="36">
                  <c:v>18597.699218999998</c:v>
                </c:pt>
                <c:pt idx="37">
                  <c:v>18552.570312</c:v>
                </c:pt>
                <c:pt idx="38">
                  <c:v>18529.419922000001</c:v>
                </c:pt>
                <c:pt idx="39">
                  <c:v>18547.300781000002</c:v>
                </c:pt>
                <c:pt idx="40">
                  <c:v>18481.480468999998</c:v>
                </c:pt>
                <c:pt idx="41">
                  <c:v>18448.410156000002</c:v>
                </c:pt>
                <c:pt idx="42">
                  <c:v>18395.400390999999</c:v>
                </c:pt>
                <c:pt idx="43">
                  <c:v>18502.990234000001</c:v>
                </c:pt>
                <c:pt idx="44">
                  <c:v>18454.300781000002</c:v>
                </c:pt>
                <c:pt idx="45">
                  <c:v>18400.880859000001</c:v>
                </c:pt>
                <c:pt idx="46">
                  <c:v>18419.300781000002</c:v>
                </c:pt>
                <c:pt idx="47">
                  <c:v>18491.960938</c:v>
                </c:pt>
                <c:pt idx="48">
                  <c:v>18538.119140999999</c:v>
                </c:pt>
                <c:pt idx="49">
                  <c:v>18526.140625</c:v>
                </c:pt>
              </c:numCache>
            </c:numRef>
          </c:xVal>
          <c:yVal>
            <c:numRef>
              <c:f>'6.7.4, 6.7.2.1-2'!$C$25:$C$74</c:f>
              <c:numCache>
                <c:formatCode>General</c:formatCode>
                <c:ptCount val="50"/>
                <c:pt idx="0">
                  <c:v>0.55987541455101564</c:v>
                </c:pt>
                <c:pt idx="1">
                  <c:v>1.4314287459114894E-2</c:v>
                </c:pt>
                <c:pt idx="2">
                  <c:v>-1.0865871225922348</c:v>
                </c:pt>
                <c:pt idx="3">
                  <c:v>-1.1250182584832515</c:v>
                </c:pt>
                <c:pt idx="4">
                  <c:v>-0.52818095288904487</c:v>
                </c:pt>
                <c:pt idx="5">
                  <c:v>-0.93535953069454081</c:v>
                </c:pt>
                <c:pt idx="6">
                  <c:v>-0.59293223450141852</c:v>
                </c:pt>
                <c:pt idx="7">
                  <c:v>-1.4249072282248108</c:v>
                </c:pt>
                <c:pt idx="8">
                  <c:v>-1.4477248219892545</c:v>
                </c:pt>
                <c:pt idx="9">
                  <c:v>-1.4302154546109449</c:v>
                </c:pt>
                <c:pt idx="10">
                  <c:v>-1.744864556781593</c:v>
                </c:pt>
                <c:pt idx="11">
                  <c:v>-2.5041460353942568</c:v>
                </c:pt>
                <c:pt idx="12">
                  <c:v>-2.4365849750969488</c:v>
                </c:pt>
                <c:pt idx="13">
                  <c:v>-2.4644540973250173</c:v>
                </c:pt>
                <c:pt idx="14">
                  <c:v>-2.1798859724730164</c:v>
                </c:pt>
                <c:pt idx="15">
                  <c:v>-2.767187755740494</c:v>
                </c:pt>
                <c:pt idx="16">
                  <c:v>-2.5814392180785433</c:v>
                </c:pt>
                <c:pt idx="17">
                  <c:v>-2.5444610053431092</c:v>
                </c:pt>
                <c:pt idx="18">
                  <c:v>-1.3387862295468409</c:v>
                </c:pt>
                <c:pt idx="19">
                  <c:v>-1.1408464124288855</c:v>
                </c:pt>
                <c:pt idx="20">
                  <c:v>1.2104366231225896</c:v>
                </c:pt>
                <c:pt idx="21">
                  <c:v>1.3534535095124056</c:v>
                </c:pt>
                <c:pt idx="22">
                  <c:v>1.4156739901922464</c:v>
                </c:pt>
                <c:pt idx="23">
                  <c:v>2.2737581720263478</c:v>
                </c:pt>
                <c:pt idx="24">
                  <c:v>2.7019455895584485</c:v>
                </c:pt>
                <c:pt idx="25">
                  <c:v>2.7374243005762651</c:v>
                </c:pt>
                <c:pt idx="26">
                  <c:v>2.6584925768133587</c:v>
                </c:pt>
                <c:pt idx="27">
                  <c:v>1.0406962924259631</c:v>
                </c:pt>
                <c:pt idx="28">
                  <c:v>0.46241914326424194</c:v>
                </c:pt>
                <c:pt idx="29">
                  <c:v>0.16555090267497974</c:v>
                </c:pt>
                <c:pt idx="30">
                  <c:v>0.52264187757251079</c:v>
                </c:pt>
                <c:pt idx="31">
                  <c:v>-0.6092687975850879</c:v>
                </c:pt>
                <c:pt idx="32">
                  <c:v>-0.22461339512281597</c:v>
                </c:pt>
                <c:pt idx="33">
                  <c:v>-0.71022019365791778</c:v>
                </c:pt>
                <c:pt idx="34">
                  <c:v>-0.91995334200768752</c:v>
                </c:pt>
                <c:pt idx="35">
                  <c:v>-0.14653481387192357</c:v>
                </c:pt>
                <c:pt idx="36">
                  <c:v>-0.20625791833862195</c:v>
                </c:pt>
                <c:pt idx="37">
                  <c:v>0.23611524163560205</c:v>
                </c:pt>
                <c:pt idx="38">
                  <c:v>0.44148736569484015</c:v>
                </c:pt>
                <c:pt idx="39">
                  <c:v>0.39375329711434404</c:v>
                </c:pt>
                <c:pt idx="40">
                  <c:v>0.58393121341563869</c:v>
                </c:pt>
                <c:pt idx="41">
                  <c:v>1.160167727589311</c:v>
                </c:pt>
                <c:pt idx="42">
                  <c:v>1.4088295415897534</c:v>
                </c:pt>
                <c:pt idx="43">
                  <c:v>1.2502786327597164</c:v>
                </c:pt>
                <c:pt idx="44">
                  <c:v>1.8380819860363005</c:v>
                </c:pt>
                <c:pt idx="45">
                  <c:v>2.089681691245076</c:v>
                </c:pt>
                <c:pt idx="46">
                  <c:v>2.3881019119746583</c:v>
                </c:pt>
                <c:pt idx="47">
                  <c:v>1.8990646522221226</c:v>
                </c:pt>
                <c:pt idx="48">
                  <c:v>1.3993428801964569</c:v>
                </c:pt>
                <c:pt idx="49">
                  <c:v>0.88491150155712717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4BE-475C-99FA-81B4071FC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403624"/>
        <c:axId val="690403296"/>
      </c:scatterChart>
      <c:valAx>
        <c:axId val="690403624"/>
        <c:scaling>
          <c:orientation val="minMax"/>
        </c:scaling>
        <c:delete val="0"/>
        <c:axPos val="b"/>
        <c:majorGridlines/>
        <c:numFmt formatCode="0.00" sourceLinked="1"/>
        <c:majorTickMark val="none"/>
        <c:minorTickMark val="none"/>
        <c:tickLblPos val="nextTo"/>
        <c:crossAx val="690403296"/>
        <c:crosses val="autoZero"/>
        <c:crossBetween val="midCat"/>
      </c:valAx>
      <c:valAx>
        <c:axId val="69040329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690403624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 and fittes values as scater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NASDAQ Close</c:v>
          </c:tx>
          <c:spPr>
            <a:ln w="28575">
              <a:noFill/>
            </a:ln>
          </c:spPr>
          <c:xVal>
            <c:numRef>
              <c:f>'6.7.1-3'!$C$2:$C$51</c:f>
              <c:numCache>
                <c:formatCode>0.00</c:formatCode>
                <c:ptCount val="50"/>
                <c:pt idx="0">
                  <c:v>17409.720702999999</c:v>
                </c:pt>
                <c:pt idx="1">
                  <c:v>17694.679688</c:v>
                </c:pt>
                <c:pt idx="2">
                  <c:v>17929.990234000001</c:v>
                </c:pt>
                <c:pt idx="3">
                  <c:v>17949.369140999999</c:v>
                </c:pt>
                <c:pt idx="4">
                  <c:v>17840.619140999999</c:v>
                </c:pt>
                <c:pt idx="5">
                  <c:v>17918.619140999999</c:v>
                </c:pt>
                <c:pt idx="6">
                  <c:v>17895.880859000001</c:v>
                </c:pt>
                <c:pt idx="7">
                  <c:v>18146.740234000001</c:v>
                </c:pt>
                <c:pt idx="8">
                  <c:v>18226.929688</c:v>
                </c:pt>
                <c:pt idx="9">
                  <c:v>18347.669922000001</c:v>
                </c:pt>
                <c:pt idx="10">
                  <c:v>18372.119140999999</c:v>
                </c:pt>
                <c:pt idx="11">
                  <c:v>18506.410156000002</c:v>
                </c:pt>
                <c:pt idx="12">
                  <c:v>18516.550781000002</c:v>
                </c:pt>
                <c:pt idx="13">
                  <c:v>18533.050781000002</c:v>
                </c:pt>
                <c:pt idx="14">
                  <c:v>18559.009765999999</c:v>
                </c:pt>
                <c:pt idx="15">
                  <c:v>18595.029297000001</c:v>
                </c:pt>
                <c:pt idx="16">
                  <c:v>18517.230468999998</c:v>
                </c:pt>
                <c:pt idx="17">
                  <c:v>18570.849609000001</c:v>
                </c:pt>
                <c:pt idx="18">
                  <c:v>18493.060547000001</c:v>
                </c:pt>
                <c:pt idx="19">
                  <c:v>18473.75</c:v>
                </c:pt>
                <c:pt idx="20">
                  <c:v>18472.169922000001</c:v>
                </c:pt>
                <c:pt idx="21">
                  <c:v>18456.349609000001</c:v>
                </c:pt>
                <c:pt idx="22">
                  <c:v>18432.240234000001</c:v>
                </c:pt>
                <c:pt idx="23">
                  <c:v>18404.509765999999</c:v>
                </c:pt>
                <c:pt idx="24">
                  <c:v>18313.769531000002</c:v>
                </c:pt>
                <c:pt idx="25">
                  <c:v>18355</c:v>
                </c:pt>
                <c:pt idx="26">
                  <c:v>18352.050781000002</c:v>
                </c:pt>
                <c:pt idx="27">
                  <c:v>18543.529297000001</c:v>
                </c:pt>
                <c:pt idx="28">
                  <c:v>18529.289062</c:v>
                </c:pt>
                <c:pt idx="29">
                  <c:v>18533.050781000002</c:v>
                </c:pt>
                <c:pt idx="30">
                  <c:v>18495.660156000002</c:v>
                </c:pt>
                <c:pt idx="31">
                  <c:v>18613.519531000002</c:v>
                </c:pt>
                <c:pt idx="32">
                  <c:v>18576.470702999999</c:v>
                </c:pt>
                <c:pt idx="33">
                  <c:v>18636.050781000002</c:v>
                </c:pt>
                <c:pt idx="34">
                  <c:v>18552.019531000002</c:v>
                </c:pt>
                <c:pt idx="35">
                  <c:v>18573.939452999999</c:v>
                </c:pt>
                <c:pt idx="36">
                  <c:v>18597.699218999998</c:v>
                </c:pt>
                <c:pt idx="37">
                  <c:v>18552.570312</c:v>
                </c:pt>
                <c:pt idx="38">
                  <c:v>18529.419922000001</c:v>
                </c:pt>
                <c:pt idx="39">
                  <c:v>18547.300781000002</c:v>
                </c:pt>
                <c:pt idx="40">
                  <c:v>18481.480468999998</c:v>
                </c:pt>
                <c:pt idx="41">
                  <c:v>18448.410156000002</c:v>
                </c:pt>
                <c:pt idx="42">
                  <c:v>18395.400390999999</c:v>
                </c:pt>
                <c:pt idx="43">
                  <c:v>18502.990234000001</c:v>
                </c:pt>
                <c:pt idx="44">
                  <c:v>18454.300781000002</c:v>
                </c:pt>
                <c:pt idx="45">
                  <c:v>18400.880859000001</c:v>
                </c:pt>
                <c:pt idx="46">
                  <c:v>18419.300781000002</c:v>
                </c:pt>
                <c:pt idx="47">
                  <c:v>18491.960938</c:v>
                </c:pt>
                <c:pt idx="48">
                  <c:v>18538.119140999999</c:v>
                </c:pt>
                <c:pt idx="49">
                  <c:v>18526.140625</c:v>
                </c:pt>
              </c:numCache>
            </c:numRef>
          </c:xVal>
          <c:yVal>
            <c:numRef>
              <c:f>'6.7.1-3'!$B$2:$B$51</c:f>
              <c:numCache>
                <c:formatCode>0.00</c:formatCode>
                <c:ptCount val="50"/>
                <c:pt idx="0">
                  <c:v>62.599997999999999</c:v>
                </c:pt>
                <c:pt idx="1">
                  <c:v>64.089995999999999</c:v>
                </c:pt>
                <c:pt idx="2">
                  <c:v>64.669998000000007</c:v>
                </c:pt>
                <c:pt idx="3">
                  <c:v>64.769997000000004</c:v>
                </c:pt>
                <c:pt idx="4">
                  <c:v>64.589995999999999</c:v>
                </c:pt>
                <c:pt idx="5">
                  <c:v>64.739998</c:v>
                </c:pt>
                <c:pt idx="6">
                  <c:v>64.919998000000007</c:v>
                </c:pt>
                <c:pt idx="7">
                  <c:v>65.879997000000003</c:v>
                </c:pt>
                <c:pt idx="8">
                  <c:v>66.430000000000007</c:v>
                </c:pt>
                <c:pt idx="9">
                  <c:v>67.309997999999993</c:v>
                </c:pt>
                <c:pt idx="10">
                  <c:v>67.169998000000007</c:v>
                </c:pt>
                <c:pt idx="11">
                  <c:v>67.370002999999997</c:v>
                </c:pt>
                <c:pt idx="12">
                  <c:v>67.510002</c:v>
                </c:pt>
                <c:pt idx="13">
                  <c:v>67.599997999999999</c:v>
                </c:pt>
                <c:pt idx="14">
                  <c:v>68.069999999999993</c:v>
                </c:pt>
                <c:pt idx="15">
                  <c:v>67.739998</c:v>
                </c:pt>
                <c:pt idx="16">
                  <c:v>67.370002999999997</c:v>
                </c:pt>
                <c:pt idx="17">
                  <c:v>67.790001000000004</c:v>
                </c:pt>
                <c:pt idx="18">
                  <c:v>68.440002000000007</c:v>
                </c:pt>
                <c:pt idx="19">
                  <c:v>68.5</c:v>
                </c:pt>
                <c:pt idx="20">
                  <c:v>70.839995999999999</c:v>
                </c:pt>
                <c:pt idx="21">
                  <c:v>70.870002999999997</c:v>
                </c:pt>
                <c:pt idx="22">
                  <c:v>70.760002</c:v>
                </c:pt>
                <c:pt idx="23">
                  <c:v>71.419998000000007</c:v>
                </c:pt>
                <c:pt idx="24">
                  <c:v>71.199996999999996</c:v>
                </c:pt>
                <c:pt idx="25">
                  <c:v>71.529999000000004</c:v>
                </c:pt>
                <c:pt idx="26">
                  <c:v>71.430000000000007</c:v>
                </c:pt>
                <c:pt idx="27">
                  <c:v>71.180000000000007</c:v>
                </c:pt>
                <c:pt idx="28">
                  <c:v>70.5</c:v>
                </c:pt>
                <c:pt idx="29">
                  <c:v>70.230002999999996</c:v>
                </c:pt>
                <c:pt idx="30">
                  <c:v>70.319999999999993</c:v>
                </c:pt>
                <c:pt idx="31">
                  <c:v>70.029999000000004</c:v>
                </c:pt>
                <c:pt idx="32">
                  <c:v>70.150002000000001</c:v>
                </c:pt>
                <c:pt idx="33">
                  <c:v>70.089995999999999</c:v>
                </c:pt>
                <c:pt idx="34">
                  <c:v>69.279999000000004</c:v>
                </c:pt>
                <c:pt idx="35">
                  <c:v>70.209998999999996</c:v>
                </c:pt>
                <c:pt idx="36">
                  <c:v>70.319999999999993</c:v>
                </c:pt>
                <c:pt idx="37">
                  <c:v>70.440002000000007</c:v>
                </c:pt>
                <c:pt idx="38">
                  <c:v>70.480002999999996</c:v>
                </c:pt>
                <c:pt idx="39">
                  <c:v>70.559997999999993</c:v>
                </c:pt>
                <c:pt idx="40">
                  <c:v>70.279999000000004</c:v>
                </c:pt>
                <c:pt idx="41">
                  <c:v>70.620002999999997</c:v>
                </c:pt>
                <c:pt idx="42">
                  <c:v>70.489998</c:v>
                </c:pt>
                <c:pt idx="43">
                  <c:v>71.099997999999999</c:v>
                </c:pt>
                <c:pt idx="44">
                  <c:v>71.339995999999999</c:v>
                </c:pt>
                <c:pt idx="45">
                  <c:v>71.209998999999996</c:v>
                </c:pt>
                <c:pt idx="46">
                  <c:v>71.639999000000003</c:v>
                </c:pt>
                <c:pt idx="47">
                  <c:v>71.669998000000007</c:v>
                </c:pt>
                <c:pt idx="48">
                  <c:v>71.5</c:v>
                </c:pt>
                <c:pt idx="49">
                  <c:v>70.900002000000001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3D9-4040-8B56-1F12DDDE792F}"/>
            </c:ext>
          </c:extLst>
        </c:ser>
        <c:ser>
          <c:idx val="1"/>
          <c:order val="1"/>
          <c:tx>
            <c:v>Predicted NASDAQ Close</c:v>
          </c:tx>
          <c:spPr>
            <a:ln w="28575">
              <a:noFill/>
            </a:ln>
          </c:spPr>
          <c:xVal>
            <c:numRef>
              <c:f>'6.7.1-3'!$C$2:$C$51</c:f>
              <c:numCache>
                <c:formatCode>0.00</c:formatCode>
                <c:ptCount val="50"/>
                <c:pt idx="0">
                  <c:v>17409.720702999999</c:v>
                </c:pt>
                <c:pt idx="1">
                  <c:v>17694.679688</c:v>
                </c:pt>
                <c:pt idx="2">
                  <c:v>17929.990234000001</c:v>
                </c:pt>
                <c:pt idx="3">
                  <c:v>17949.369140999999</c:v>
                </c:pt>
                <c:pt idx="4">
                  <c:v>17840.619140999999</c:v>
                </c:pt>
                <c:pt idx="5">
                  <c:v>17918.619140999999</c:v>
                </c:pt>
                <c:pt idx="6">
                  <c:v>17895.880859000001</c:v>
                </c:pt>
                <c:pt idx="7">
                  <c:v>18146.740234000001</c:v>
                </c:pt>
                <c:pt idx="8">
                  <c:v>18226.929688</c:v>
                </c:pt>
                <c:pt idx="9">
                  <c:v>18347.669922000001</c:v>
                </c:pt>
                <c:pt idx="10">
                  <c:v>18372.119140999999</c:v>
                </c:pt>
                <c:pt idx="11">
                  <c:v>18506.410156000002</c:v>
                </c:pt>
                <c:pt idx="12">
                  <c:v>18516.550781000002</c:v>
                </c:pt>
                <c:pt idx="13">
                  <c:v>18533.050781000002</c:v>
                </c:pt>
                <c:pt idx="14">
                  <c:v>18559.009765999999</c:v>
                </c:pt>
                <c:pt idx="15">
                  <c:v>18595.029297000001</c:v>
                </c:pt>
                <c:pt idx="16">
                  <c:v>18517.230468999998</c:v>
                </c:pt>
                <c:pt idx="17">
                  <c:v>18570.849609000001</c:v>
                </c:pt>
                <c:pt idx="18">
                  <c:v>18493.060547000001</c:v>
                </c:pt>
                <c:pt idx="19">
                  <c:v>18473.75</c:v>
                </c:pt>
                <c:pt idx="20">
                  <c:v>18472.169922000001</c:v>
                </c:pt>
                <c:pt idx="21">
                  <c:v>18456.349609000001</c:v>
                </c:pt>
                <c:pt idx="22">
                  <c:v>18432.240234000001</c:v>
                </c:pt>
                <c:pt idx="23">
                  <c:v>18404.509765999999</c:v>
                </c:pt>
                <c:pt idx="24">
                  <c:v>18313.769531000002</c:v>
                </c:pt>
                <c:pt idx="25">
                  <c:v>18355</c:v>
                </c:pt>
                <c:pt idx="26">
                  <c:v>18352.050781000002</c:v>
                </c:pt>
                <c:pt idx="27">
                  <c:v>18543.529297000001</c:v>
                </c:pt>
                <c:pt idx="28">
                  <c:v>18529.289062</c:v>
                </c:pt>
                <c:pt idx="29">
                  <c:v>18533.050781000002</c:v>
                </c:pt>
                <c:pt idx="30">
                  <c:v>18495.660156000002</c:v>
                </c:pt>
                <c:pt idx="31">
                  <c:v>18613.519531000002</c:v>
                </c:pt>
                <c:pt idx="32">
                  <c:v>18576.470702999999</c:v>
                </c:pt>
                <c:pt idx="33">
                  <c:v>18636.050781000002</c:v>
                </c:pt>
                <c:pt idx="34">
                  <c:v>18552.019531000002</c:v>
                </c:pt>
                <c:pt idx="35">
                  <c:v>18573.939452999999</c:v>
                </c:pt>
                <c:pt idx="36">
                  <c:v>18597.699218999998</c:v>
                </c:pt>
                <c:pt idx="37">
                  <c:v>18552.570312</c:v>
                </c:pt>
                <c:pt idx="38">
                  <c:v>18529.419922000001</c:v>
                </c:pt>
                <c:pt idx="39">
                  <c:v>18547.300781000002</c:v>
                </c:pt>
                <c:pt idx="40">
                  <c:v>18481.480468999998</c:v>
                </c:pt>
                <c:pt idx="41">
                  <c:v>18448.410156000002</c:v>
                </c:pt>
                <c:pt idx="42">
                  <c:v>18395.400390999999</c:v>
                </c:pt>
                <c:pt idx="43">
                  <c:v>18502.990234000001</c:v>
                </c:pt>
                <c:pt idx="44">
                  <c:v>18454.300781000002</c:v>
                </c:pt>
                <c:pt idx="45">
                  <c:v>18400.880859000001</c:v>
                </c:pt>
                <c:pt idx="46">
                  <c:v>18419.300781000002</c:v>
                </c:pt>
                <c:pt idx="47">
                  <c:v>18491.960938</c:v>
                </c:pt>
                <c:pt idx="48">
                  <c:v>18538.119140999999</c:v>
                </c:pt>
                <c:pt idx="49">
                  <c:v>18526.140625</c:v>
                </c:pt>
              </c:numCache>
            </c:numRef>
          </c:xVal>
          <c:yVal>
            <c:numRef>
              <c:f>'6.7.4, 6.7.2.1-2'!$B$25:$B$74</c:f>
              <c:numCache>
                <c:formatCode>General</c:formatCode>
                <c:ptCount val="50"/>
                <c:pt idx="0">
                  <c:v>62.040122585448984</c:v>
                </c:pt>
                <c:pt idx="1">
                  <c:v>64.075681712540884</c:v>
                </c:pt>
                <c:pt idx="2">
                  <c:v>65.756585122592242</c:v>
                </c:pt>
                <c:pt idx="3">
                  <c:v>65.895015258483255</c:v>
                </c:pt>
                <c:pt idx="4">
                  <c:v>65.118176952889044</c:v>
                </c:pt>
                <c:pt idx="5">
                  <c:v>65.675357530694541</c:v>
                </c:pt>
                <c:pt idx="6">
                  <c:v>65.512930234501425</c:v>
                </c:pt>
                <c:pt idx="7">
                  <c:v>67.304904228224814</c:v>
                </c:pt>
                <c:pt idx="8">
                  <c:v>67.877724821989261</c:v>
                </c:pt>
                <c:pt idx="9">
                  <c:v>68.740213454610938</c:v>
                </c:pt>
                <c:pt idx="10">
                  <c:v>68.9148625567816</c:v>
                </c:pt>
                <c:pt idx="11">
                  <c:v>69.874149035394254</c:v>
                </c:pt>
                <c:pt idx="12">
                  <c:v>69.946586975096949</c:v>
                </c:pt>
                <c:pt idx="13">
                  <c:v>70.064452097325017</c:v>
                </c:pt>
                <c:pt idx="14">
                  <c:v>70.24988597247301</c:v>
                </c:pt>
                <c:pt idx="15">
                  <c:v>70.507185755740494</c:v>
                </c:pt>
                <c:pt idx="16">
                  <c:v>69.95144221807854</c:v>
                </c:pt>
                <c:pt idx="17">
                  <c:v>70.334462005343113</c:v>
                </c:pt>
                <c:pt idx="18">
                  <c:v>69.778788229546848</c:v>
                </c:pt>
                <c:pt idx="19">
                  <c:v>69.640846412428886</c:v>
                </c:pt>
                <c:pt idx="20">
                  <c:v>69.62955937687741</c:v>
                </c:pt>
                <c:pt idx="21">
                  <c:v>69.516549490487591</c:v>
                </c:pt>
                <c:pt idx="22">
                  <c:v>69.344328009807754</c:v>
                </c:pt>
                <c:pt idx="23">
                  <c:v>69.146239827973659</c:v>
                </c:pt>
                <c:pt idx="24">
                  <c:v>68.498051410441548</c:v>
                </c:pt>
                <c:pt idx="25">
                  <c:v>68.792574699423739</c:v>
                </c:pt>
                <c:pt idx="26">
                  <c:v>68.771507423186648</c:v>
                </c:pt>
                <c:pt idx="27">
                  <c:v>70.139303707574044</c:v>
                </c:pt>
                <c:pt idx="28">
                  <c:v>70.037580856735758</c:v>
                </c:pt>
                <c:pt idx="29">
                  <c:v>70.064452097325017</c:v>
                </c:pt>
                <c:pt idx="30">
                  <c:v>69.797358122427482</c:v>
                </c:pt>
                <c:pt idx="31">
                  <c:v>70.639267797585092</c:v>
                </c:pt>
                <c:pt idx="32">
                  <c:v>70.374615395122817</c:v>
                </c:pt>
                <c:pt idx="33">
                  <c:v>70.800216193657917</c:v>
                </c:pt>
                <c:pt idx="34">
                  <c:v>70.199952342007691</c:v>
                </c:pt>
                <c:pt idx="35">
                  <c:v>70.35653381387192</c:v>
                </c:pt>
                <c:pt idx="36">
                  <c:v>70.526257918338615</c:v>
                </c:pt>
                <c:pt idx="37">
                  <c:v>70.203886758364405</c:v>
                </c:pt>
                <c:pt idx="38">
                  <c:v>70.038515634305156</c:v>
                </c:pt>
                <c:pt idx="39">
                  <c:v>70.166244702885649</c:v>
                </c:pt>
                <c:pt idx="40">
                  <c:v>69.696067786584365</c:v>
                </c:pt>
                <c:pt idx="41">
                  <c:v>69.459835272410686</c:v>
                </c:pt>
                <c:pt idx="42">
                  <c:v>69.081168458410247</c:v>
                </c:pt>
                <c:pt idx="43">
                  <c:v>69.849719367240283</c:v>
                </c:pt>
                <c:pt idx="44">
                  <c:v>69.501914013963699</c:v>
                </c:pt>
                <c:pt idx="45">
                  <c:v>69.12031730875492</c:v>
                </c:pt>
                <c:pt idx="46">
                  <c:v>69.251897088025345</c:v>
                </c:pt>
                <c:pt idx="47">
                  <c:v>69.770933347777884</c:v>
                </c:pt>
                <c:pt idx="48">
                  <c:v>70.100657119803543</c:v>
                </c:pt>
                <c:pt idx="49">
                  <c:v>70.015090498442873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3D9-4040-8B56-1F12DDDE7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7426384"/>
        <c:axId val="727425072"/>
      </c:scatterChart>
      <c:valAx>
        <c:axId val="727426384"/>
        <c:scaling>
          <c:orientation val="minMax"/>
        </c:scaling>
        <c:delete val="0"/>
        <c:axPos val="b"/>
        <c:majorGridlines/>
        <c:numFmt formatCode="0.00" sourceLinked="1"/>
        <c:majorTickMark val="none"/>
        <c:minorTickMark val="none"/>
        <c:tickLblPos val="nextTo"/>
        <c:crossAx val="727425072"/>
        <c:crosses val="autoZero"/>
        <c:crossBetween val="midCat"/>
      </c:valAx>
      <c:valAx>
        <c:axId val="727425072"/>
        <c:scaling>
          <c:orientation val="minMax"/>
        </c:scaling>
        <c:delete val="0"/>
        <c:axPos val="l"/>
        <c:majorGridlines/>
        <c:numFmt formatCode="0.00" sourceLinked="1"/>
        <c:majorTickMark val="none"/>
        <c:minorTickMark val="none"/>
        <c:tickLblPos val="nextTo"/>
        <c:crossAx val="727426384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Normal Probability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'6.7.4, 6.7.2.1-2'!$F$25:$F$74</c:f>
              <c:numCache>
                <c:formatCode>General</c:formatCode>
                <c:ptCount val="5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</c:v>
                </c:pt>
                <c:pt idx="8">
                  <c:v>17</c:v>
                </c:pt>
                <c:pt idx="9">
                  <c:v>19</c:v>
                </c:pt>
                <c:pt idx="10">
                  <c:v>21</c:v>
                </c:pt>
                <c:pt idx="11">
                  <c:v>23</c:v>
                </c:pt>
                <c:pt idx="12">
                  <c:v>25</c:v>
                </c:pt>
                <c:pt idx="13">
                  <c:v>27</c:v>
                </c:pt>
                <c:pt idx="14">
                  <c:v>29</c:v>
                </c:pt>
                <c:pt idx="15">
                  <c:v>31</c:v>
                </c:pt>
                <c:pt idx="16">
                  <c:v>33</c:v>
                </c:pt>
                <c:pt idx="17">
                  <c:v>35</c:v>
                </c:pt>
                <c:pt idx="18">
                  <c:v>37</c:v>
                </c:pt>
                <c:pt idx="19">
                  <c:v>39</c:v>
                </c:pt>
                <c:pt idx="20">
                  <c:v>41</c:v>
                </c:pt>
                <c:pt idx="21">
                  <c:v>43</c:v>
                </c:pt>
                <c:pt idx="22">
                  <c:v>45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55</c:v>
                </c:pt>
                <c:pt idx="28">
                  <c:v>57</c:v>
                </c:pt>
                <c:pt idx="29">
                  <c:v>59</c:v>
                </c:pt>
                <c:pt idx="30">
                  <c:v>61</c:v>
                </c:pt>
                <c:pt idx="31">
                  <c:v>63</c:v>
                </c:pt>
                <c:pt idx="32">
                  <c:v>65</c:v>
                </c:pt>
                <c:pt idx="33">
                  <c:v>67</c:v>
                </c:pt>
                <c:pt idx="34">
                  <c:v>69</c:v>
                </c:pt>
                <c:pt idx="35">
                  <c:v>71</c:v>
                </c:pt>
                <c:pt idx="36">
                  <c:v>73</c:v>
                </c:pt>
                <c:pt idx="37">
                  <c:v>75</c:v>
                </c:pt>
                <c:pt idx="38">
                  <c:v>77</c:v>
                </c:pt>
                <c:pt idx="39">
                  <c:v>79</c:v>
                </c:pt>
                <c:pt idx="40">
                  <c:v>81</c:v>
                </c:pt>
                <c:pt idx="41">
                  <c:v>83</c:v>
                </c:pt>
                <c:pt idx="42">
                  <c:v>85</c:v>
                </c:pt>
                <c:pt idx="43">
                  <c:v>87</c:v>
                </c:pt>
                <c:pt idx="44">
                  <c:v>89</c:v>
                </c:pt>
                <c:pt idx="45">
                  <c:v>91</c:v>
                </c:pt>
                <c:pt idx="46">
                  <c:v>93</c:v>
                </c:pt>
                <c:pt idx="47">
                  <c:v>95</c:v>
                </c:pt>
                <c:pt idx="48">
                  <c:v>97</c:v>
                </c:pt>
                <c:pt idx="49">
                  <c:v>99</c:v>
                </c:pt>
              </c:numCache>
            </c:numRef>
          </c:xVal>
          <c:yVal>
            <c:numRef>
              <c:f>'6.7.4, 6.7.2.1-2'!$G$25:$G$74</c:f>
              <c:numCache>
                <c:formatCode>General</c:formatCode>
                <c:ptCount val="50"/>
                <c:pt idx="0">
                  <c:v>62.599997999999999</c:v>
                </c:pt>
                <c:pt idx="1">
                  <c:v>64.089995999999999</c:v>
                </c:pt>
                <c:pt idx="2">
                  <c:v>64.589995999999999</c:v>
                </c:pt>
                <c:pt idx="3">
                  <c:v>64.669998000000007</c:v>
                </c:pt>
                <c:pt idx="4">
                  <c:v>64.739998</c:v>
                </c:pt>
                <c:pt idx="5">
                  <c:v>64.769997000000004</c:v>
                </c:pt>
                <c:pt idx="6">
                  <c:v>64.919998000000007</c:v>
                </c:pt>
                <c:pt idx="7">
                  <c:v>65.879997000000003</c:v>
                </c:pt>
                <c:pt idx="8">
                  <c:v>66.430000000000007</c:v>
                </c:pt>
                <c:pt idx="9">
                  <c:v>67.169998000000007</c:v>
                </c:pt>
                <c:pt idx="10">
                  <c:v>67.309997999999993</c:v>
                </c:pt>
                <c:pt idx="11">
                  <c:v>67.370002999999997</c:v>
                </c:pt>
                <c:pt idx="12">
                  <c:v>67.370002999999997</c:v>
                </c:pt>
                <c:pt idx="13">
                  <c:v>67.510002</c:v>
                </c:pt>
                <c:pt idx="14">
                  <c:v>67.599997999999999</c:v>
                </c:pt>
                <c:pt idx="15">
                  <c:v>67.739998</c:v>
                </c:pt>
                <c:pt idx="16">
                  <c:v>67.790001000000004</c:v>
                </c:pt>
                <c:pt idx="17">
                  <c:v>68.069999999999993</c:v>
                </c:pt>
                <c:pt idx="18">
                  <c:v>68.440002000000007</c:v>
                </c:pt>
                <c:pt idx="19">
                  <c:v>68.5</c:v>
                </c:pt>
                <c:pt idx="20">
                  <c:v>69.279999000000004</c:v>
                </c:pt>
                <c:pt idx="21">
                  <c:v>70.029999000000004</c:v>
                </c:pt>
                <c:pt idx="22">
                  <c:v>70.089995999999999</c:v>
                </c:pt>
                <c:pt idx="23">
                  <c:v>70.150002000000001</c:v>
                </c:pt>
                <c:pt idx="24">
                  <c:v>70.209998999999996</c:v>
                </c:pt>
                <c:pt idx="25">
                  <c:v>70.230002999999996</c:v>
                </c:pt>
                <c:pt idx="26">
                  <c:v>70.279999000000004</c:v>
                </c:pt>
                <c:pt idx="27">
                  <c:v>70.319999999999993</c:v>
                </c:pt>
                <c:pt idx="28">
                  <c:v>70.319999999999993</c:v>
                </c:pt>
                <c:pt idx="29">
                  <c:v>70.440002000000007</c:v>
                </c:pt>
                <c:pt idx="30">
                  <c:v>70.480002999999996</c:v>
                </c:pt>
                <c:pt idx="31">
                  <c:v>70.489998</c:v>
                </c:pt>
                <c:pt idx="32">
                  <c:v>70.5</c:v>
                </c:pt>
                <c:pt idx="33">
                  <c:v>70.559997999999993</c:v>
                </c:pt>
                <c:pt idx="34">
                  <c:v>70.620002999999997</c:v>
                </c:pt>
                <c:pt idx="35">
                  <c:v>70.760002</c:v>
                </c:pt>
                <c:pt idx="36">
                  <c:v>70.839995999999999</c:v>
                </c:pt>
                <c:pt idx="37">
                  <c:v>70.870002999999997</c:v>
                </c:pt>
                <c:pt idx="38">
                  <c:v>70.900002000000001</c:v>
                </c:pt>
                <c:pt idx="39">
                  <c:v>71.099997999999999</c:v>
                </c:pt>
                <c:pt idx="40">
                  <c:v>71.180000000000007</c:v>
                </c:pt>
                <c:pt idx="41">
                  <c:v>71.199996999999996</c:v>
                </c:pt>
                <c:pt idx="42">
                  <c:v>71.209998999999996</c:v>
                </c:pt>
                <c:pt idx="43">
                  <c:v>71.339995999999999</c:v>
                </c:pt>
                <c:pt idx="44">
                  <c:v>71.419998000000007</c:v>
                </c:pt>
                <c:pt idx="45">
                  <c:v>71.430000000000007</c:v>
                </c:pt>
                <c:pt idx="46">
                  <c:v>71.5</c:v>
                </c:pt>
                <c:pt idx="47">
                  <c:v>71.529999000000004</c:v>
                </c:pt>
                <c:pt idx="48">
                  <c:v>71.639999000000003</c:v>
                </c:pt>
                <c:pt idx="49">
                  <c:v>71.669998000000007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A41-48FB-AC6A-9A9F216526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7425728"/>
        <c:axId val="727429008"/>
      </c:scatterChart>
      <c:valAx>
        <c:axId val="727425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Sample Percentile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27429008"/>
        <c:crosses val="autoZero"/>
        <c:crossBetween val="midCat"/>
      </c:valAx>
      <c:valAx>
        <c:axId val="7274290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NASDAQ Close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274257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Actual and Predicted NASDAQ closing values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'6.7.4, 6.7.2.1-2'!$T$1</c:f>
              <c:strCache>
                <c:ptCount val="1"/>
                <c:pt idx="0">
                  <c:v>NASDAQ Close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'6.7.4, 6.7.2.1-2'!$T$2:$T$51</c:f>
              <c:numCache>
                <c:formatCode>0.00</c:formatCode>
                <c:ptCount val="50"/>
                <c:pt idx="0">
                  <c:v>62.599997999999999</c:v>
                </c:pt>
                <c:pt idx="1">
                  <c:v>64.089995999999999</c:v>
                </c:pt>
                <c:pt idx="2">
                  <c:v>64.669998000000007</c:v>
                </c:pt>
                <c:pt idx="3">
                  <c:v>64.769997000000004</c:v>
                </c:pt>
                <c:pt idx="4">
                  <c:v>64.589995999999999</c:v>
                </c:pt>
                <c:pt idx="5">
                  <c:v>64.739998</c:v>
                </c:pt>
                <c:pt idx="6">
                  <c:v>64.919998000000007</c:v>
                </c:pt>
                <c:pt idx="7">
                  <c:v>65.879997000000003</c:v>
                </c:pt>
                <c:pt idx="8">
                  <c:v>66.430000000000007</c:v>
                </c:pt>
                <c:pt idx="9">
                  <c:v>67.309997999999993</c:v>
                </c:pt>
                <c:pt idx="10">
                  <c:v>67.169998000000007</c:v>
                </c:pt>
                <c:pt idx="11">
                  <c:v>67.370002999999997</c:v>
                </c:pt>
                <c:pt idx="12">
                  <c:v>67.510002</c:v>
                </c:pt>
                <c:pt idx="13">
                  <c:v>67.599997999999999</c:v>
                </c:pt>
                <c:pt idx="14">
                  <c:v>68.069999999999993</c:v>
                </c:pt>
                <c:pt idx="15">
                  <c:v>67.739998</c:v>
                </c:pt>
                <c:pt idx="16">
                  <c:v>67.370002999999997</c:v>
                </c:pt>
                <c:pt idx="17">
                  <c:v>67.790001000000004</c:v>
                </c:pt>
                <c:pt idx="18">
                  <c:v>68.440002000000007</c:v>
                </c:pt>
                <c:pt idx="19">
                  <c:v>68.5</c:v>
                </c:pt>
                <c:pt idx="20">
                  <c:v>70.839995999999999</c:v>
                </c:pt>
                <c:pt idx="21">
                  <c:v>70.870002999999997</c:v>
                </c:pt>
                <c:pt idx="22">
                  <c:v>70.760002</c:v>
                </c:pt>
                <c:pt idx="23">
                  <c:v>71.419998000000007</c:v>
                </c:pt>
                <c:pt idx="24">
                  <c:v>71.199996999999996</c:v>
                </c:pt>
                <c:pt idx="25">
                  <c:v>71.529999000000004</c:v>
                </c:pt>
                <c:pt idx="26">
                  <c:v>71.430000000000007</c:v>
                </c:pt>
                <c:pt idx="27">
                  <c:v>71.180000000000007</c:v>
                </c:pt>
                <c:pt idx="28">
                  <c:v>70.5</c:v>
                </c:pt>
                <c:pt idx="29">
                  <c:v>70.230002999999996</c:v>
                </c:pt>
                <c:pt idx="30">
                  <c:v>70.319999999999993</c:v>
                </c:pt>
                <c:pt idx="31">
                  <c:v>70.029999000000004</c:v>
                </c:pt>
                <c:pt idx="32">
                  <c:v>70.150002000000001</c:v>
                </c:pt>
                <c:pt idx="33">
                  <c:v>70.089995999999999</c:v>
                </c:pt>
                <c:pt idx="34">
                  <c:v>69.279999000000004</c:v>
                </c:pt>
                <c:pt idx="35">
                  <c:v>70.209998999999996</c:v>
                </c:pt>
                <c:pt idx="36">
                  <c:v>70.319999999999993</c:v>
                </c:pt>
                <c:pt idx="37">
                  <c:v>70.440002000000007</c:v>
                </c:pt>
                <c:pt idx="38">
                  <c:v>70.480002999999996</c:v>
                </c:pt>
                <c:pt idx="39">
                  <c:v>70.559997999999993</c:v>
                </c:pt>
                <c:pt idx="40">
                  <c:v>70.279999000000004</c:v>
                </c:pt>
                <c:pt idx="41">
                  <c:v>70.620002999999997</c:v>
                </c:pt>
                <c:pt idx="42">
                  <c:v>70.489998</c:v>
                </c:pt>
                <c:pt idx="43">
                  <c:v>71.099997999999999</c:v>
                </c:pt>
                <c:pt idx="44">
                  <c:v>71.339995999999999</c:v>
                </c:pt>
                <c:pt idx="45">
                  <c:v>71.209998999999996</c:v>
                </c:pt>
                <c:pt idx="46">
                  <c:v>71.639999000000003</c:v>
                </c:pt>
                <c:pt idx="47">
                  <c:v>71.669998000000007</c:v>
                </c:pt>
                <c:pt idx="48">
                  <c:v>71.5</c:v>
                </c:pt>
                <c:pt idx="49">
                  <c:v>70.900002000000001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8B-45E2-BD6F-EC3F935F7D77}"/>
            </c:ext>
          </c:extLst>
        </c:ser>
        <c:ser>
          <c:idx val="1"/>
          <c:order val="1"/>
          <c:tx>
            <c:strRef>
              <c:f>'6.7.4, 6.7.2.1-2'!$U$1</c:f>
              <c:strCache>
                <c:ptCount val="1"/>
                <c:pt idx="0">
                  <c:v>Predicted NASDAQ Close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'6.7.4, 6.7.2.1-2'!$U$2:$U$51</c:f>
              <c:numCache>
                <c:formatCode>General</c:formatCode>
                <c:ptCount val="50"/>
                <c:pt idx="0">
                  <c:v>62.040122585448984</c:v>
                </c:pt>
                <c:pt idx="1">
                  <c:v>64.075681712540884</c:v>
                </c:pt>
                <c:pt idx="2">
                  <c:v>65.756585122592242</c:v>
                </c:pt>
                <c:pt idx="3">
                  <c:v>65.895015258483255</c:v>
                </c:pt>
                <c:pt idx="4">
                  <c:v>65.118176952889044</c:v>
                </c:pt>
                <c:pt idx="5">
                  <c:v>65.675357530694541</c:v>
                </c:pt>
                <c:pt idx="6">
                  <c:v>65.512930234501425</c:v>
                </c:pt>
                <c:pt idx="7">
                  <c:v>67.304904228224814</c:v>
                </c:pt>
                <c:pt idx="8">
                  <c:v>67.877724821989261</c:v>
                </c:pt>
                <c:pt idx="9">
                  <c:v>68.740213454610938</c:v>
                </c:pt>
                <c:pt idx="10">
                  <c:v>68.9148625567816</c:v>
                </c:pt>
                <c:pt idx="11">
                  <c:v>69.874149035394254</c:v>
                </c:pt>
                <c:pt idx="12">
                  <c:v>69.946586975096949</c:v>
                </c:pt>
                <c:pt idx="13">
                  <c:v>70.064452097325017</c:v>
                </c:pt>
                <c:pt idx="14">
                  <c:v>70.24988597247301</c:v>
                </c:pt>
                <c:pt idx="15">
                  <c:v>70.507185755740494</c:v>
                </c:pt>
                <c:pt idx="16">
                  <c:v>69.95144221807854</c:v>
                </c:pt>
                <c:pt idx="17">
                  <c:v>70.334462005343113</c:v>
                </c:pt>
                <c:pt idx="18">
                  <c:v>69.778788229546848</c:v>
                </c:pt>
                <c:pt idx="19">
                  <c:v>69.640846412428886</c:v>
                </c:pt>
                <c:pt idx="20">
                  <c:v>69.62955937687741</c:v>
                </c:pt>
                <c:pt idx="21">
                  <c:v>69.516549490487591</c:v>
                </c:pt>
                <c:pt idx="22">
                  <c:v>69.344328009807754</c:v>
                </c:pt>
                <c:pt idx="23">
                  <c:v>69.146239827973659</c:v>
                </c:pt>
                <c:pt idx="24">
                  <c:v>68.498051410441548</c:v>
                </c:pt>
                <c:pt idx="25">
                  <c:v>68.792574699423739</c:v>
                </c:pt>
                <c:pt idx="26">
                  <c:v>68.771507423186648</c:v>
                </c:pt>
                <c:pt idx="27">
                  <c:v>70.139303707574044</c:v>
                </c:pt>
                <c:pt idx="28">
                  <c:v>70.037580856735758</c:v>
                </c:pt>
                <c:pt idx="29">
                  <c:v>70.064452097325017</c:v>
                </c:pt>
                <c:pt idx="30">
                  <c:v>69.797358122427482</c:v>
                </c:pt>
                <c:pt idx="31">
                  <c:v>70.639267797585092</c:v>
                </c:pt>
                <c:pt idx="32">
                  <c:v>70.374615395122817</c:v>
                </c:pt>
                <c:pt idx="33">
                  <c:v>70.800216193657917</c:v>
                </c:pt>
                <c:pt idx="34">
                  <c:v>70.199952342007691</c:v>
                </c:pt>
                <c:pt idx="35">
                  <c:v>70.35653381387192</c:v>
                </c:pt>
                <c:pt idx="36">
                  <c:v>70.526257918338615</c:v>
                </c:pt>
                <c:pt idx="37">
                  <c:v>70.203886758364405</c:v>
                </c:pt>
                <c:pt idx="38">
                  <c:v>70.038515634305156</c:v>
                </c:pt>
                <c:pt idx="39">
                  <c:v>70.166244702885649</c:v>
                </c:pt>
                <c:pt idx="40">
                  <c:v>69.696067786584365</c:v>
                </c:pt>
                <c:pt idx="41">
                  <c:v>69.459835272410686</c:v>
                </c:pt>
                <c:pt idx="42">
                  <c:v>69.081168458410247</c:v>
                </c:pt>
                <c:pt idx="43">
                  <c:v>69.849719367240283</c:v>
                </c:pt>
                <c:pt idx="44">
                  <c:v>69.501914013963699</c:v>
                </c:pt>
                <c:pt idx="45">
                  <c:v>69.12031730875492</c:v>
                </c:pt>
                <c:pt idx="46">
                  <c:v>69.251897088025345</c:v>
                </c:pt>
                <c:pt idx="47">
                  <c:v>69.770933347777884</c:v>
                </c:pt>
                <c:pt idx="48">
                  <c:v>70.100657119803543</c:v>
                </c:pt>
                <c:pt idx="49">
                  <c:v>70.015090498442873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8B-45E2-BD6F-EC3F935F7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9901928"/>
        <c:axId val="709902584"/>
      </c:lineChart>
      <c:catAx>
        <c:axId val="7099019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9902584"/>
        <c:crosses val="autoZero"/>
        <c:auto val="1"/>
        <c:lblAlgn val="ctr"/>
        <c:lblOffset val="100"/>
        <c:noMultiLvlLbl val="0"/>
      </c:catAx>
      <c:valAx>
        <c:axId val="709902584"/>
        <c:scaling>
          <c:orientation val="minMax"/>
          <c:min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9901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Actual vs. Predicted NASDAQ Close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'6.7.4, 6.7.2.1-2'!$U$1</c:f>
              <c:strCache>
                <c:ptCount val="1"/>
                <c:pt idx="0">
                  <c:v>Predicted NASDAQ Close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'6.7.4, 6.7.2.1-2'!$T$2:$T$51</c:f>
              <c:numCache>
                <c:formatCode>0.00</c:formatCode>
                <c:ptCount val="50"/>
                <c:pt idx="0">
                  <c:v>62.599997999999999</c:v>
                </c:pt>
                <c:pt idx="1">
                  <c:v>64.089995999999999</c:v>
                </c:pt>
                <c:pt idx="2">
                  <c:v>64.669998000000007</c:v>
                </c:pt>
                <c:pt idx="3">
                  <c:v>64.769997000000004</c:v>
                </c:pt>
                <c:pt idx="4">
                  <c:v>64.589995999999999</c:v>
                </c:pt>
                <c:pt idx="5">
                  <c:v>64.739998</c:v>
                </c:pt>
                <c:pt idx="6">
                  <c:v>64.919998000000007</c:v>
                </c:pt>
                <c:pt idx="7">
                  <c:v>65.879997000000003</c:v>
                </c:pt>
                <c:pt idx="8">
                  <c:v>66.430000000000007</c:v>
                </c:pt>
                <c:pt idx="9">
                  <c:v>67.309997999999993</c:v>
                </c:pt>
                <c:pt idx="10">
                  <c:v>67.169998000000007</c:v>
                </c:pt>
                <c:pt idx="11">
                  <c:v>67.370002999999997</c:v>
                </c:pt>
                <c:pt idx="12">
                  <c:v>67.510002</c:v>
                </c:pt>
                <c:pt idx="13">
                  <c:v>67.599997999999999</c:v>
                </c:pt>
                <c:pt idx="14">
                  <c:v>68.069999999999993</c:v>
                </c:pt>
                <c:pt idx="15">
                  <c:v>67.739998</c:v>
                </c:pt>
                <c:pt idx="16">
                  <c:v>67.370002999999997</c:v>
                </c:pt>
                <c:pt idx="17">
                  <c:v>67.790001000000004</c:v>
                </c:pt>
                <c:pt idx="18">
                  <c:v>68.440002000000007</c:v>
                </c:pt>
                <c:pt idx="19">
                  <c:v>68.5</c:v>
                </c:pt>
                <c:pt idx="20">
                  <c:v>70.839995999999999</c:v>
                </c:pt>
                <c:pt idx="21">
                  <c:v>70.870002999999997</c:v>
                </c:pt>
                <c:pt idx="22">
                  <c:v>70.760002</c:v>
                </c:pt>
                <c:pt idx="23">
                  <c:v>71.419998000000007</c:v>
                </c:pt>
                <c:pt idx="24">
                  <c:v>71.199996999999996</c:v>
                </c:pt>
                <c:pt idx="25">
                  <c:v>71.529999000000004</c:v>
                </c:pt>
                <c:pt idx="26">
                  <c:v>71.430000000000007</c:v>
                </c:pt>
                <c:pt idx="27">
                  <c:v>71.180000000000007</c:v>
                </c:pt>
                <c:pt idx="28">
                  <c:v>70.5</c:v>
                </c:pt>
                <c:pt idx="29">
                  <c:v>70.230002999999996</c:v>
                </c:pt>
                <c:pt idx="30">
                  <c:v>70.319999999999993</c:v>
                </c:pt>
                <c:pt idx="31">
                  <c:v>70.029999000000004</c:v>
                </c:pt>
                <c:pt idx="32">
                  <c:v>70.150002000000001</c:v>
                </c:pt>
                <c:pt idx="33">
                  <c:v>70.089995999999999</c:v>
                </c:pt>
                <c:pt idx="34">
                  <c:v>69.279999000000004</c:v>
                </c:pt>
                <c:pt idx="35">
                  <c:v>70.209998999999996</c:v>
                </c:pt>
                <c:pt idx="36">
                  <c:v>70.319999999999993</c:v>
                </c:pt>
                <c:pt idx="37">
                  <c:v>70.440002000000007</c:v>
                </c:pt>
                <c:pt idx="38">
                  <c:v>70.480002999999996</c:v>
                </c:pt>
                <c:pt idx="39">
                  <c:v>70.559997999999993</c:v>
                </c:pt>
                <c:pt idx="40">
                  <c:v>70.279999000000004</c:v>
                </c:pt>
                <c:pt idx="41">
                  <c:v>70.620002999999997</c:v>
                </c:pt>
                <c:pt idx="42">
                  <c:v>70.489998</c:v>
                </c:pt>
                <c:pt idx="43">
                  <c:v>71.099997999999999</c:v>
                </c:pt>
                <c:pt idx="44">
                  <c:v>71.339995999999999</c:v>
                </c:pt>
                <c:pt idx="45">
                  <c:v>71.209998999999996</c:v>
                </c:pt>
                <c:pt idx="46">
                  <c:v>71.639999000000003</c:v>
                </c:pt>
                <c:pt idx="47">
                  <c:v>71.669998000000007</c:v>
                </c:pt>
                <c:pt idx="48">
                  <c:v>71.5</c:v>
                </c:pt>
                <c:pt idx="49">
                  <c:v>70.900002000000001</c:v>
                </c:pt>
              </c:numCache>
            </c:numRef>
          </c:xVal>
          <c:yVal>
            <c:numRef>
              <c:f>'6.7.4, 6.7.2.1-2'!$U$2:$U$51</c:f>
              <c:numCache>
                <c:formatCode>General</c:formatCode>
                <c:ptCount val="50"/>
                <c:pt idx="0">
                  <c:v>62.040122585448984</c:v>
                </c:pt>
                <c:pt idx="1">
                  <c:v>64.075681712540884</c:v>
                </c:pt>
                <c:pt idx="2">
                  <c:v>65.756585122592242</c:v>
                </c:pt>
                <c:pt idx="3">
                  <c:v>65.895015258483255</c:v>
                </c:pt>
                <c:pt idx="4">
                  <c:v>65.118176952889044</c:v>
                </c:pt>
                <c:pt idx="5">
                  <c:v>65.675357530694541</c:v>
                </c:pt>
                <c:pt idx="6">
                  <c:v>65.512930234501425</c:v>
                </c:pt>
                <c:pt idx="7">
                  <c:v>67.304904228224814</c:v>
                </c:pt>
                <c:pt idx="8">
                  <c:v>67.877724821989261</c:v>
                </c:pt>
                <c:pt idx="9">
                  <c:v>68.740213454610938</c:v>
                </c:pt>
                <c:pt idx="10">
                  <c:v>68.9148625567816</c:v>
                </c:pt>
                <c:pt idx="11">
                  <c:v>69.874149035394254</c:v>
                </c:pt>
                <c:pt idx="12">
                  <c:v>69.946586975096949</c:v>
                </c:pt>
                <c:pt idx="13">
                  <c:v>70.064452097325017</c:v>
                </c:pt>
                <c:pt idx="14">
                  <c:v>70.24988597247301</c:v>
                </c:pt>
                <c:pt idx="15">
                  <c:v>70.507185755740494</c:v>
                </c:pt>
                <c:pt idx="16">
                  <c:v>69.95144221807854</c:v>
                </c:pt>
                <c:pt idx="17">
                  <c:v>70.334462005343113</c:v>
                </c:pt>
                <c:pt idx="18">
                  <c:v>69.778788229546848</c:v>
                </c:pt>
                <c:pt idx="19">
                  <c:v>69.640846412428886</c:v>
                </c:pt>
                <c:pt idx="20">
                  <c:v>69.62955937687741</c:v>
                </c:pt>
                <c:pt idx="21">
                  <c:v>69.516549490487591</c:v>
                </c:pt>
                <c:pt idx="22">
                  <c:v>69.344328009807754</c:v>
                </c:pt>
                <c:pt idx="23">
                  <c:v>69.146239827973659</c:v>
                </c:pt>
                <c:pt idx="24">
                  <c:v>68.498051410441548</c:v>
                </c:pt>
                <c:pt idx="25">
                  <c:v>68.792574699423739</c:v>
                </c:pt>
                <c:pt idx="26">
                  <c:v>68.771507423186648</c:v>
                </c:pt>
                <c:pt idx="27">
                  <c:v>70.139303707574044</c:v>
                </c:pt>
                <c:pt idx="28">
                  <c:v>70.037580856735758</c:v>
                </c:pt>
                <c:pt idx="29">
                  <c:v>70.064452097325017</c:v>
                </c:pt>
                <c:pt idx="30">
                  <c:v>69.797358122427482</c:v>
                </c:pt>
                <c:pt idx="31">
                  <c:v>70.639267797585092</c:v>
                </c:pt>
                <c:pt idx="32">
                  <c:v>70.374615395122817</c:v>
                </c:pt>
                <c:pt idx="33">
                  <c:v>70.800216193657917</c:v>
                </c:pt>
                <c:pt idx="34">
                  <c:v>70.199952342007691</c:v>
                </c:pt>
                <c:pt idx="35">
                  <c:v>70.35653381387192</c:v>
                </c:pt>
                <c:pt idx="36">
                  <c:v>70.526257918338615</c:v>
                </c:pt>
                <c:pt idx="37">
                  <c:v>70.203886758364405</c:v>
                </c:pt>
                <c:pt idx="38">
                  <c:v>70.038515634305156</c:v>
                </c:pt>
                <c:pt idx="39">
                  <c:v>70.166244702885649</c:v>
                </c:pt>
                <c:pt idx="40">
                  <c:v>69.696067786584365</c:v>
                </c:pt>
                <c:pt idx="41">
                  <c:v>69.459835272410686</c:v>
                </c:pt>
                <c:pt idx="42">
                  <c:v>69.081168458410247</c:v>
                </c:pt>
                <c:pt idx="43">
                  <c:v>69.849719367240283</c:v>
                </c:pt>
                <c:pt idx="44">
                  <c:v>69.501914013963699</c:v>
                </c:pt>
                <c:pt idx="45">
                  <c:v>69.12031730875492</c:v>
                </c:pt>
                <c:pt idx="46">
                  <c:v>69.251897088025345</c:v>
                </c:pt>
                <c:pt idx="47">
                  <c:v>69.770933347777884</c:v>
                </c:pt>
                <c:pt idx="48">
                  <c:v>70.100657119803543</c:v>
                </c:pt>
                <c:pt idx="49">
                  <c:v>70.015090498442873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43-409E-A375-DE390BFE5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4737376"/>
        <c:axId val="724736392"/>
      </c:scatterChart>
      <c:valAx>
        <c:axId val="724737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736392"/>
        <c:crosses val="autoZero"/>
        <c:crossBetween val="midCat"/>
      </c:valAx>
      <c:valAx>
        <c:axId val="724736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737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Residuals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'6.1.1-4'!$D$1</c:f>
              <c:strCache>
                <c:ptCount val="1"/>
                <c:pt idx="0">
                  <c:v>Residuals</c:v>
                </c:pt>
              </c:strCache>
            </c:strRef>
          </c:tx>
          <c:marker>
            <c:symbol val="none"/>
          </c:marker>
          <c:val>
            <c:numRef>
              <c:f>'6.1.1-4'!$D$2:$D$16</c:f>
              <c:numCache>
                <c:formatCode>General</c:formatCode>
                <c:ptCount val="15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3</c:v>
                </c:pt>
                <c:pt idx="11">
                  <c:v>3</c:v>
                </c:pt>
                <c:pt idx="12">
                  <c:v>1</c:v>
                </c:pt>
                <c:pt idx="13">
                  <c:v>3</c:v>
                </c:pt>
                <c:pt idx="1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8C-4745-B7E2-0702366CC5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703424"/>
        <c:axId val="161704960"/>
      </c:lineChart>
      <c:catAx>
        <c:axId val="161703424"/>
        <c:scaling>
          <c:orientation val="minMax"/>
        </c:scaling>
        <c:delete val="0"/>
        <c:axPos val="b"/>
        <c:majorTickMark val="out"/>
        <c:minorTickMark val="none"/>
        <c:tickLblPos val="nextTo"/>
        <c:crossAx val="161704960"/>
        <c:crosses val="autoZero"/>
        <c:auto val="1"/>
        <c:lblAlgn val="ctr"/>
        <c:lblOffset val="100"/>
        <c:noMultiLvlLbl val="0"/>
      </c:catAx>
      <c:valAx>
        <c:axId val="1617049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703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'6.7.4, 6.7.2.1-2'!$C$24</c:f>
              <c:strCache>
                <c:ptCount val="1"/>
                <c:pt idx="0">
                  <c:v>Residuals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'6.7.4, 6.7.2.1-2'!$C$25:$C$74</c:f>
              <c:numCache>
                <c:formatCode>General</c:formatCode>
                <c:ptCount val="50"/>
                <c:pt idx="0">
                  <c:v>0.55987541455101564</c:v>
                </c:pt>
                <c:pt idx="1">
                  <c:v>1.4314287459114894E-2</c:v>
                </c:pt>
                <c:pt idx="2">
                  <c:v>-1.0865871225922348</c:v>
                </c:pt>
                <c:pt idx="3">
                  <c:v>-1.1250182584832515</c:v>
                </c:pt>
                <c:pt idx="4">
                  <c:v>-0.52818095288904487</c:v>
                </c:pt>
                <c:pt idx="5">
                  <c:v>-0.93535953069454081</c:v>
                </c:pt>
                <c:pt idx="6">
                  <c:v>-0.59293223450141852</c:v>
                </c:pt>
                <c:pt idx="7">
                  <c:v>-1.4249072282248108</c:v>
                </c:pt>
                <c:pt idx="8">
                  <c:v>-1.4477248219892545</c:v>
                </c:pt>
                <c:pt idx="9">
                  <c:v>-1.4302154546109449</c:v>
                </c:pt>
                <c:pt idx="10">
                  <c:v>-1.744864556781593</c:v>
                </c:pt>
                <c:pt idx="11">
                  <c:v>-2.5041460353942568</c:v>
                </c:pt>
                <c:pt idx="12">
                  <c:v>-2.4365849750969488</c:v>
                </c:pt>
                <c:pt idx="13">
                  <c:v>-2.4644540973250173</c:v>
                </c:pt>
                <c:pt idx="14">
                  <c:v>-2.1798859724730164</c:v>
                </c:pt>
                <c:pt idx="15">
                  <c:v>-2.767187755740494</c:v>
                </c:pt>
                <c:pt idx="16">
                  <c:v>-2.5814392180785433</c:v>
                </c:pt>
                <c:pt idx="17">
                  <c:v>-2.5444610053431092</c:v>
                </c:pt>
                <c:pt idx="18">
                  <c:v>-1.3387862295468409</c:v>
                </c:pt>
                <c:pt idx="19">
                  <c:v>-1.1408464124288855</c:v>
                </c:pt>
                <c:pt idx="20">
                  <c:v>1.2104366231225896</c:v>
                </c:pt>
                <c:pt idx="21">
                  <c:v>1.3534535095124056</c:v>
                </c:pt>
                <c:pt idx="22">
                  <c:v>1.4156739901922464</c:v>
                </c:pt>
                <c:pt idx="23">
                  <c:v>2.2737581720263478</c:v>
                </c:pt>
                <c:pt idx="24">
                  <c:v>2.7019455895584485</c:v>
                </c:pt>
                <c:pt idx="25">
                  <c:v>2.7374243005762651</c:v>
                </c:pt>
                <c:pt idx="26">
                  <c:v>2.6584925768133587</c:v>
                </c:pt>
                <c:pt idx="27">
                  <c:v>1.0406962924259631</c:v>
                </c:pt>
                <c:pt idx="28">
                  <c:v>0.46241914326424194</c:v>
                </c:pt>
                <c:pt idx="29">
                  <c:v>0.16555090267497974</c:v>
                </c:pt>
                <c:pt idx="30">
                  <c:v>0.52264187757251079</c:v>
                </c:pt>
                <c:pt idx="31">
                  <c:v>-0.6092687975850879</c:v>
                </c:pt>
                <c:pt idx="32">
                  <c:v>-0.22461339512281597</c:v>
                </c:pt>
                <c:pt idx="33">
                  <c:v>-0.71022019365791778</c:v>
                </c:pt>
                <c:pt idx="34">
                  <c:v>-0.91995334200768752</c:v>
                </c:pt>
                <c:pt idx="35">
                  <c:v>-0.14653481387192357</c:v>
                </c:pt>
                <c:pt idx="36">
                  <c:v>-0.20625791833862195</c:v>
                </c:pt>
                <c:pt idx="37">
                  <c:v>0.23611524163560205</c:v>
                </c:pt>
                <c:pt idx="38">
                  <c:v>0.44148736569484015</c:v>
                </c:pt>
                <c:pt idx="39">
                  <c:v>0.39375329711434404</c:v>
                </c:pt>
                <c:pt idx="40">
                  <c:v>0.58393121341563869</c:v>
                </c:pt>
                <c:pt idx="41">
                  <c:v>1.160167727589311</c:v>
                </c:pt>
                <c:pt idx="42">
                  <c:v>1.4088295415897534</c:v>
                </c:pt>
                <c:pt idx="43">
                  <c:v>1.2502786327597164</c:v>
                </c:pt>
                <c:pt idx="44">
                  <c:v>1.8380819860363005</c:v>
                </c:pt>
                <c:pt idx="45">
                  <c:v>2.089681691245076</c:v>
                </c:pt>
                <c:pt idx="46">
                  <c:v>2.3881019119746583</c:v>
                </c:pt>
                <c:pt idx="47">
                  <c:v>1.8990646522221226</c:v>
                </c:pt>
                <c:pt idx="48">
                  <c:v>1.3993428801964569</c:v>
                </c:pt>
                <c:pt idx="49">
                  <c:v>0.88491150155712717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F0-4B27-B53F-EC8004808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9895368"/>
        <c:axId val="709901272"/>
      </c:lineChart>
      <c:catAx>
        <c:axId val="7098953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9901272"/>
        <c:crosses val="autoZero"/>
        <c:auto val="1"/>
        <c:lblAlgn val="ctr"/>
        <c:lblOffset val="100"/>
        <c:noMultiLvlLbl val="0"/>
      </c:catAx>
      <c:valAx>
        <c:axId val="709901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9895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Predicted vs. Residuals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'6.7.4, 6.7.2.1-2'!$C$24</c:f>
              <c:strCache>
                <c:ptCount val="1"/>
                <c:pt idx="0">
                  <c:v>Residuals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'6.7.4, 6.7.2.1-2'!$B$25:$B$74</c:f>
              <c:numCache>
                <c:formatCode>General</c:formatCode>
                <c:ptCount val="50"/>
                <c:pt idx="0">
                  <c:v>62.040122585448984</c:v>
                </c:pt>
                <c:pt idx="1">
                  <c:v>64.075681712540884</c:v>
                </c:pt>
                <c:pt idx="2">
                  <c:v>65.756585122592242</c:v>
                </c:pt>
                <c:pt idx="3">
                  <c:v>65.895015258483255</c:v>
                </c:pt>
                <c:pt idx="4">
                  <c:v>65.118176952889044</c:v>
                </c:pt>
                <c:pt idx="5">
                  <c:v>65.675357530694541</c:v>
                </c:pt>
                <c:pt idx="6">
                  <c:v>65.512930234501425</c:v>
                </c:pt>
                <c:pt idx="7">
                  <c:v>67.304904228224814</c:v>
                </c:pt>
                <c:pt idx="8">
                  <c:v>67.877724821989261</c:v>
                </c:pt>
                <c:pt idx="9">
                  <c:v>68.740213454610938</c:v>
                </c:pt>
                <c:pt idx="10">
                  <c:v>68.9148625567816</c:v>
                </c:pt>
                <c:pt idx="11">
                  <c:v>69.874149035394254</c:v>
                </c:pt>
                <c:pt idx="12">
                  <c:v>69.946586975096949</c:v>
                </c:pt>
                <c:pt idx="13">
                  <c:v>70.064452097325017</c:v>
                </c:pt>
                <c:pt idx="14">
                  <c:v>70.24988597247301</c:v>
                </c:pt>
                <c:pt idx="15">
                  <c:v>70.507185755740494</c:v>
                </c:pt>
                <c:pt idx="16">
                  <c:v>69.95144221807854</c:v>
                </c:pt>
                <c:pt idx="17">
                  <c:v>70.334462005343113</c:v>
                </c:pt>
                <c:pt idx="18">
                  <c:v>69.778788229546848</c:v>
                </c:pt>
                <c:pt idx="19">
                  <c:v>69.640846412428886</c:v>
                </c:pt>
                <c:pt idx="20">
                  <c:v>69.62955937687741</c:v>
                </c:pt>
                <c:pt idx="21">
                  <c:v>69.516549490487591</c:v>
                </c:pt>
                <c:pt idx="22">
                  <c:v>69.344328009807754</c:v>
                </c:pt>
                <c:pt idx="23">
                  <c:v>69.146239827973659</c:v>
                </c:pt>
                <c:pt idx="24">
                  <c:v>68.498051410441548</c:v>
                </c:pt>
                <c:pt idx="25">
                  <c:v>68.792574699423739</c:v>
                </c:pt>
                <c:pt idx="26">
                  <c:v>68.771507423186648</c:v>
                </c:pt>
                <c:pt idx="27">
                  <c:v>70.139303707574044</c:v>
                </c:pt>
                <c:pt idx="28">
                  <c:v>70.037580856735758</c:v>
                </c:pt>
                <c:pt idx="29">
                  <c:v>70.064452097325017</c:v>
                </c:pt>
                <c:pt idx="30">
                  <c:v>69.797358122427482</c:v>
                </c:pt>
                <c:pt idx="31">
                  <c:v>70.639267797585092</c:v>
                </c:pt>
                <c:pt idx="32">
                  <c:v>70.374615395122817</c:v>
                </c:pt>
                <c:pt idx="33">
                  <c:v>70.800216193657917</c:v>
                </c:pt>
                <c:pt idx="34">
                  <c:v>70.199952342007691</c:v>
                </c:pt>
                <c:pt idx="35">
                  <c:v>70.35653381387192</c:v>
                </c:pt>
                <c:pt idx="36">
                  <c:v>70.526257918338615</c:v>
                </c:pt>
                <c:pt idx="37">
                  <c:v>70.203886758364405</c:v>
                </c:pt>
                <c:pt idx="38">
                  <c:v>70.038515634305156</c:v>
                </c:pt>
                <c:pt idx="39">
                  <c:v>70.166244702885649</c:v>
                </c:pt>
                <c:pt idx="40">
                  <c:v>69.696067786584365</c:v>
                </c:pt>
                <c:pt idx="41">
                  <c:v>69.459835272410686</c:v>
                </c:pt>
                <c:pt idx="42">
                  <c:v>69.081168458410247</c:v>
                </c:pt>
                <c:pt idx="43">
                  <c:v>69.849719367240283</c:v>
                </c:pt>
                <c:pt idx="44">
                  <c:v>69.501914013963699</c:v>
                </c:pt>
                <c:pt idx="45">
                  <c:v>69.12031730875492</c:v>
                </c:pt>
                <c:pt idx="46">
                  <c:v>69.251897088025345</c:v>
                </c:pt>
                <c:pt idx="47">
                  <c:v>69.770933347777884</c:v>
                </c:pt>
                <c:pt idx="48">
                  <c:v>70.100657119803543</c:v>
                </c:pt>
                <c:pt idx="49">
                  <c:v>70.015090498442873</c:v>
                </c:pt>
              </c:numCache>
            </c:numRef>
          </c:xVal>
          <c:yVal>
            <c:numRef>
              <c:f>'6.7.4, 6.7.2.1-2'!$C$25:$C$74</c:f>
              <c:numCache>
                <c:formatCode>General</c:formatCode>
                <c:ptCount val="50"/>
                <c:pt idx="0">
                  <c:v>0.55987541455101564</c:v>
                </c:pt>
                <c:pt idx="1">
                  <c:v>1.4314287459114894E-2</c:v>
                </c:pt>
                <c:pt idx="2">
                  <c:v>-1.0865871225922348</c:v>
                </c:pt>
                <c:pt idx="3">
                  <c:v>-1.1250182584832515</c:v>
                </c:pt>
                <c:pt idx="4">
                  <c:v>-0.52818095288904487</c:v>
                </c:pt>
                <c:pt idx="5">
                  <c:v>-0.93535953069454081</c:v>
                </c:pt>
                <c:pt idx="6">
                  <c:v>-0.59293223450141852</c:v>
                </c:pt>
                <c:pt idx="7">
                  <c:v>-1.4249072282248108</c:v>
                </c:pt>
                <c:pt idx="8">
                  <c:v>-1.4477248219892545</c:v>
                </c:pt>
                <c:pt idx="9">
                  <c:v>-1.4302154546109449</c:v>
                </c:pt>
                <c:pt idx="10">
                  <c:v>-1.744864556781593</c:v>
                </c:pt>
                <c:pt idx="11">
                  <c:v>-2.5041460353942568</c:v>
                </c:pt>
                <c:pt idx="12">
                  <c:v>-2.4365849750969488</c:v>
                </c:pt>
                <c:pt idx="13">
                  <c:v>-2.4644540973250173</c:v>
                </c:pt>
                <c:pt idx="14">
                  <c:v>-2.1798859724730164</c:v>
                </c:pt>
                <c:pt idx="15">
                  <c:v>-2.767187755740494</c:v>
                </c:pt>
                <c:pt idx="16">
                  <c:v>-2.5814392180785433</c:v>
                </c:pt>
                <c:pt idx="17">
                  <c:v>-2.5444610053431092</c:v>
                </c:pt>
                <c:pt idx="18">
                  <c:v>-1.3387862295468409</c:v>
                </c:pt>
                <c:pt idx="19">
                  <c:v>-1.1408464124288855</c:v>
                </c:pt>
                <c:pt idx="20">
                  <c:v>1.2104366231225896</c:v>
                </c:pt>
                <c:pt idx="21">
                  <c:v>1.3534535095124056</c:v>
                </c:pt>
                <c:pt idx="22">
                  <c:v>1.4156739901922464</c:v>
                </c:pt>
                <c:pt idx="23">
                  <c:v>2.2737581720263478</c:v>
                </c:pt>
                <c:pt idx="24">
                  <c:v>2.7019455895584485</c:v>
                </c:pt>
                <c:pt idx="25">
                  <c:v>2.7374243005762651</c:v>
                </c:pt>
                <c:pt idx="26">
                  <c:v>2.6584925768133587</c:v>
                </c:pt>
                <c:pt idx="27">
                  <c:v>1.0406962924259631</c:v>
                </c:pt>
                <c:pt idx="28">
                  <c:v>0.46241914326424194</c:v>
                </c:pt>
                <c:pt idx="29">
                  <c:v>0.16555090267497974</c:v>
                </c:pt>
                <c:pt idx="30">
                  <c:v>0.52264187757251079</c:v>
                </c:pt>
                <c:pt idx="31">
                  <c:v>-0.6092687975850879</c:v>
                </c:pt>
                <c:pt idx="32">
                  <c:v>-0.22461339512281597</c:v>
                </c:pt>
                <c:pt idx="33">
                  <c:v>-0.71022019365791778</c:v>
                </c:pt>
                <c:pt idx="34">
                  <c:v>-0.91995334200768752</c:v>
                </c:pt>
                <c:pt idx="35">
                  <c:v>-0.14653481387192357</c:v>
                </c:pt>
                <c:pt idx="36">
                  <c:v>-0.20625791833862195</c:v>
                </c:pt>
                <c:pt idx="37">
                  <c:v>0.23611524163560205</c:v>
                </c:pt>
                <c:pt idx="38">
                  <c:v>0.44148736569484015</c:v>
                </c:pt>
                <c:pt idx="39">
                  <c:v>0.39375329711434404</c:v>
                </c:pt>
                <c:pt idx="40">
                  <c:v>0.58393121341563869</c:v>
                </c:pt>
                <c:pt idx="41">
                  <c:v>1.160167727589311</c:v>
                </c:pt>
                <c:pt idx="42">
                  <c:v>1.4088295415897534</c:v>
                </c:pt>
                <c:pt idx="43">
                  <c:v>1.2502786327597164</c:v>
                </c:pt>
                <c:pt idx="44">
                  <c:v>1.8380819860363005</c:v>
                </c:pt>
                <c:pt idx="45">
                  <c:v>2.089681691245076</c:v>
                </c:pt>
                <c:pt idx="46">
                  <c:v>2.3881019119746583</c:v>
                </c:pt>
                <c:pt idx="47">
                  <c:v>1.8990646522221226</c:v>
                </c:pt>
                <c:pt idx="48">
                  <c:v>1.3993428801964569</c:v>
                </c:pt>
                <c:pt idx="49">
                  <c:v>0.88491150155712717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A0-4CD4-83C2-EC226CAED8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4713432"/>
        <c:axId val="724712776"/>
      </c:scatterChart>
      <c:valAx>
        <c:axId val="724713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712776"/>
        <c:crosses val="autoZero"/>
        <c:crossBetween val="midCat"/>
      </c:valAx>
      <c:valAx>
        <c:axId val="724712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713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'6.7.5'!$D$2</c:f>
              <c:strCache>
                <c:ptCount val="1"/>
                <c:pt idx="0">
                  <c:v>ACF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'6.7.5'!$D$3:$D$20</c:f>
              <c:numCache>
                <c:formatCode>0.0000</c:formatCode>
                <c:ptCount val="18"/>
                <c:pt idx="0">
                  <c:v>0.91160127617098352</c:v>
                </c:pt>
                <c:pt idx="1">
                  <c:v>0.80421232761147698</c:v>
                </c:pt>
                <c:pt idx="2">
                  <c:v>0.65922117041455042</c:v>
                </c:pt>
                <c:pt idx="3">
                  <c:v>0.50864311672119766</c:v>
                </c:pt>
                <c:pt idx="4">
                  <c:v>0.34253434901784885</c:v>
                </c:pt>
                <c:pt idx="5">
                  <c:v>0.18239888051748349</c:v>
                </c:pt>
                <c:pt idx="6">
                  <c:v>6.5671648072347663E-3</c:v>
                </c:pt>
                <c:pt idx="7">
                  <c:v>-0.11462533124883009</c:v>
                </c:pt>
                <c:pt idx="8">
                  <c:v>-0.19659844007809493</c:v>
                </c:pt>
                <c:pt idx="9">
                  <c:v>-0.24451322086469782</c:v>
                </c:pt>
                <c:pt idx="10">
                  <c:v>-0.27406545426108986</c:v>
                </c:pt>
                <c:pt idx="11">
                  <c:v>-0.25372092982437983</c:v>
                </c:pt>
                <c:pt idx="12">
                  <c:v>-0.24186603341720653</c:v>
                </c:pt>
                <c:pt idx="13">
                  <c:v>-0.17544312578553867</c:v>
                </c:pt>
                <c:pt idx="14">
                  <c:v>-0.1109083921348735</c:v>
                </c:pt>
                <c:pt idx="15">
                  <c:v>-3.8399045410953028E-2</c:v>
                </c:pt>
                <c:pt idx="16">
                  <c:v>1.5063866015193354E-2</c:v>
                </c:pt>
                <c:pt idx="17">
                  <c:v>6.5146166513043918E-2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D-4B94-9045-C02B1CD79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24694736"/>
        <c:axId val="724733112"/>
      </c:barChart>
      <c:lineChart>
        <c:grouping val="standard"/>
        <c:varyColors val="0"/>
        <c:ser>
          <c:idx val="1"/>
          <c:order val="1"/>
          <c:tx>
            <c:strRef>
              <c:f>'6.7.5'!$F$2</c:f>
              <c:strCache>
                <c:ptCount val="1"/>
                <c:pt idx="0">
                  <c:v>-CI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val>
            <c:numRef>
              <c:f>'6.7.5'!$F$3:$F$20</c:f>
              <c:numCache>
                <c:formatCode>0.000</c:formatCode>
                <c:ptCount val="18"/>
                <c:pt idx="0">
                  <c:v>-0.14285714285714285</c:v>
                </c:pt>
                <c:pt idx="1">
                  <c:v>-0.23308200244974359</c:v>
                </c:pt>
                <c:pt idx="2">
                  <c:v>-0.28412230440635411</c:v>
                </c:pt>
                <c:pt idx="3">
                  <c:v>-0.3137883666189204</c:v>
                </c:pt>
                <c:pt idx="4">
                  <c:v>-0.33018638683847285</c:v>
                </c:pt>
                <c:pt idx="5">
                  <c:v>-0.33736037211887182</c:v>
                </c:pt>
                <c:pt idx="6">
                  <c:v>-0.33936698925370407</c:v>
                </c:pt>
                <c:pt idx="7">
                  <c:v>-0.33936958276710033</c:v>
                </c:pt>
                <c:pt idx="8">
                  <c:v>-0.34015878359534224</c:v>
                </c:pt>
                <c:pt idx="9">
                  <c:v>-0.3424698347532012</c:v>
                </c:pt>
                <c:pt idx="10">
                  <c:v>-0.3460142508694804</c:v>
                </c:pt>
                <c:pt idx="11">
                  <c:v>-0.35041639880064707</c:v>
                </c:pt>
                <c:pt idx="12">
                  <c:v>-0.3541456980043432</c:v>
                </c:pt>
                <c:pt idx="13">
                  <c:v>-0.35750090485331859</c:v>
                </c:pt>
                <c:pt idx="14">
                  <c:v>-0.35925372002808698</c:v>
                </c:pt>
                <c:pt idx="15">
                  <c:v>-0.35995180729689702</c:v>
                </c:pt>
                <c:pt idx="16">
                  <c:v>-0.36003539646324251</c:v>
                </c:pt>
                <c:pt idx="17">
                  <c:v>-0.36004825891772058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ED-4B94-9045-C02B1CD794F9}"/>
            </c:ext>
          </c:extLst>
        </c:ser>
        <c:ser>
          <c:idx val="2"/>
          <c:order val="2"/>
          <c:tx>
            <c:strRef>
              <c:f>'6.7.5'!$G$2</c:f>
              <c:strCache>
                <c:ptCount val="1"/>
                <c:pt idx="0">
                  <c:v>+CI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'6.7.5'!$G$3:$G$20</c:f>
              <c:numCache>
                <c:formatCode>0.000</c:formatCode>
                <c:ptCount val="18"/>
                <c:pt idx="0">
                  <c:v>0.14285714285714285</c:v>
                </c:pt>
                <c:pt idx="1">
                  <c:v>0.23308200244974359</c:v>
                </c:pt>
                <c:pt idx="2">
                  <c:v>0.28412230440635411</c:v>
                </c:pt>
                <c:pt idx="3">
                  <c:v>0.3137883666189204</c:v>
                </c:pt>
                <c:pt idx="4">
                  <c:v>0.33018638683847285</c:v>
                </c:pt>
                <c:pt idx="5">
                  <c:v>0.33736037211887182</c:v>
                </c:pt>
                <c:pt idx="6">
                  <c:v>0.33936698925370407</c:v>
                </c:pt>
                <c:pt idx="7">
                  <c:v>0.33936958276710033</c:v>
                </c:pt>
                <c:pt idx="8">
                  <c:v>0.34015878359534224</c:v>
                </c:pt>
                <c:pt idx="9">
                  <c:v>0.3424698347532012</c:v>
                </c:pt>
                <c:pt idx="10">
                  <c:v>0.3460142508694804</c:v>
                </c:pt>
                <c:pt idx="11">
                  <c:v>0.35041639880064707</c:v>
                </c:pt>
                <c:pt idx="12">
                  <c:v>0.3541456980043432</c:v>
                </c:pt>
                <c:pt idx="13">
                  <c:v>0.35750090485331859</c:v>
                </c:pt>
                <c:pt idx="14">
                  <c:v>0.35925372002808698</c:v>
                </c:pt>
                <c:pt idx="15">
                  <c:v>0.35995180729689702</c:v>
                </c:pt>
                <c:pt idx="16">
                  <c:v>0.36003539646324251</c:v>
                </c:pt>
                <c:pt idx="17">
                  <c:v>0.36004825891772058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ED-4B94-9045-C02B1CD79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4694736"/>
        <c:axId val="724733112"/>
      </c:lineChart>
      <c:catAx>
        <c:axId val="7246947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733112"/>
        <c:crosses val="autoZero"/>
        <c:auto val="1"/>
        <c:lblAlgn val="ctr"/>
        <c:lblOffset val="100"/>
        <c:noMultiLvlLbl val="0"/>
      </c:catAx>
      <c:valAx>
        <c:axId val="724733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694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'6.1.1-4'!$B$1</c:f>
              <c:strCache>
                <c:ptCount val="1"/>
                <c:pt idx="0">
                  <c:v>Series</c:v>
                </c:pt>
              </c:strCache>
            </c:strRef>
          </c:tx>
          <c:marker>
            <c:symbol val="none"/>
          </c:marker>
          <c:val>
            <c:numRef>
              <c:f>'6.1.1-4'!$B$2:$B$16</c:f>
              <c:numCache>
                <c:formatCode>General</c:formatCode>
                <c:ptCount val="15"/>
                <c:pt idx="0">
                  <c:v>3</c:v>
                </c:pt>
                <c:pt idx="1">
                  <c:v>6</c:v>
                </c:pt>
                <c:pt idx="2">
                  <c:v>8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7</c:v>
                </c:pt>
                <c:pt idx="7">
                  <c:v>5</c:v>
                </c:pt>
                <c:pt idx="8">
                  <c:v>2</c:v>
                </c:pt>
                <c:pt idx="9">
                  <c:v>4</c:v>
                </c:pt>
                <c:pt idx="10">
                  <c:v>8</c:v>
                </c:pt>
                <c:pt idx="11">
                  <c:v>6</c:v>
                </c:pt>
                <c:pt idx="12">
                  <c:v>2</c:v>
                </c:pt>
                <c:pt idx="13">
                  <c:v>6</c:v>
                </c:pt>
                <c:pt idx="1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31-4CC7-89EB-2AD80A60256B}"/>
            </c:ext>
          </c:extLst>
        </c:ser>
        <c:ser>
          <c:idx val="1"/>
          <c:order val="1"/>
          <c:tx>
            <c:strRef>
              <c:f>'6.1.1-4'!$C$1</c:f>
              <c:strCache>
                <c:ptCount val="1"/>
                <c:pt idx="0">
                  <c:v>Pattern</c:v>
                </c:pt>
              </c:strCache>
            </c:strRef>
          </c:tx>
          <c:marker>
            <c:symbol val="none"/>
          </c:marker>
          <c:val>
            <c:numRef>
              <c:f>'6.1.1-4'!$C$2:$C$16</c:f>
              <c:numCache>
                <c:formatCode>General</c:formatCode>
                <c:ptCount val="15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3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7">
                  <c:v>3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1">
                  <c:v>3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31-4CC7-89EB-2AD80A602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721344"/>
        <c:axId val="161731328"/>
      </c:lineChart>
      <c:catAx>
        <c:axId val="161721344"/>
        <c:scaling>
          <c:orientation val="minMax"/>
        </c:scaling>
        <c:delete val="0"/>
        <c:axPos val="b"/>
        <c:majorTickMark val="out"/>
        <c:minorTickMark val="none"/>
        <c:tickLblPos val="nextTo"/>
        <c:crossAx val="161731328"/>
        <c:crosses val="autoZero"/>
        <c:auto val="1"/>
        <c:lblAlgn val="ctr"/>
        <c:lblOffset val="100"/>
        <c:noMultiLvlLbl val="0"/>
      </c:catAx>
      <c:valAx>
        <c:axId val="161731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7213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'6.2.1'!$A$1:$A$200</c:f>
              <c:numCache>
                <c:formatCode>0</c:formatCode>
                <c:ptCount val="200"/>
                <c:pt idx="0">
                  <c:v>89.864499999999992</c:v>
                </c:pt>
                <c:pt idx="1">
                  <c:v>83.178899999999999</c:v>
                </c:pt>
                <c:pt idx="2">
                  <c:v>110.4029</c:v>
                </c:pt>
                <c:pt idx="3">
                  <c:v>109.85784</c:v>
                </c:pt>
                <c:pt idx="4">
                  <c:v>86.803899999999999</c:v>
                </c:pt>
                <c:pt idx="5">
                  <c:v>91.963909999999998</c:v>
                </c:pt>
                <c:pt idx="6">
                  <c:v>71.129899999999992</c:v>
                </c:pt>
                <c:pt idx="7">
                  <c:v>121.0878</c:v>
                </c:pt>
                <c:pt idx="8">
                  <c:v>97.317189999999997</c:v>
                </c:pt>
                <c:pt idx="9">
                  <c:v>108.58064</c:v>
                </c:pt>
                <c:pt idx="10">
                  <c:v>104.92010999999999</c:v>
                </c:pt>
                <c:pt idx="11">
                  <c:v>98.378320000000002</c:v>
                </c:pt>
                <c:pt idx="12">
                  <c:v>109.41766</c:v>
                </c:pt>
                <c:pt idx="13">
                  <c:v>104.37785</c:v>
                </c:pt>
                <c:pt idx="14">
                  <c:v>98.746369999999999</c:v>
                </c:pt>
                <c:pt idx="15">
                  <c:v>98.705489999999998</c:v>
                </c:pt>
                <c:pt idx="16">
                  <c:v>91.230779999999996</c:v>
                </c:pt>
                <c:pt idx="17">
                  <c:v>95.111019999999996</c:v>
                </c:pt>
                <c:pt idx="18">
                  <c:v>116.22970000000001</c:v>
                </c:pt>
                <c:pt idx="19">
                  <c:v>79.968000000000004</c:v>
                </c:pt>
                <c:pt idx="20">
                  <c:v>105.00548999999999</c:v>
                </c:pt>
                <c:pt idx="21">
                  <c:v>102.50122999999999</c:v>
                </c:pt>
                <c:pt idx="22">
                  <c:v>100.996765</c:v>
                </c:pt>
                <c:pt idx="23">
                  <c:v>101.63869</c:v>
                </c:pt>
                <c:pt idx="24">
                  <c:v>103.36381</c:v>
                </c:pt>
                <c:pt idx="25">
                  <c:v>109.0202</c:v>
                </c:pt>
                <c:pt idx="26">
                  <c:v>94.719279999999998</c:v>
                </c:pt>
                <c:pt idx="27">
                  <c:v>102.863</c:v>
                </c:pt>
                <c:pt idx="28">
                  <c:v>93.691130000000001</c:v>
                </c:pt>
                <c:pt idx="29">
                  <c:v>111.6472</c:v>
                </c:pt>
                <c:pt idx="30">
                  <c:v>92.760080000000002</c:v>
                </c:pt>
                <c:pt idx="31">
                  <c:v>93.607759999999999</c:v>
                </c:pt>
                <c:pt idx="32">
                  <c:v>86.450800000000001</c:v>
                </c:pt>
                <c:pt idx="33">
                  <c:v>92.503839999999997</c:v>
                </c:pt>
                <c:pt idx="34">
                  <c:v>94.002589999999998</c:v>
                </c:pt>
                <c:pt idx="35">
                  <c:v>99.221653000000003</c:v>
                </c:pt>
                <c:pt idx="36">
                  <c:v>112.9447</c:v>
                </c:pt>
                <c:pt idx="37">
                  <c:v>87.116900000000001</c:v>
                </c:pt>
                <c:pt idx="38">
                  <c:v>118.7492</c:v>
                </c:pt>
                <c:pt idx="39">
                  <c:v>112.8856</c:v>
                </c:pt>
                <c:pt idx="40">
                  <c:v>89.453199999999995</c:v>
                </c:pt>
                <c:pt idx="41">
                  <c:v>122.7486</c:v>
                </c:pt>
                <c:pt idx="42">
                  <c:v>110.066</c:v>
                </c:pt>
                <c:pt idx="43">
                  <c:v>92.71172</c:v>
                </c:pt>
                <c:pt idx="44">
                  <c:v>78.757000000000005</c:v>
                </c:pt>
                <c:pt idx="45">
                  <c:v>81.624600000000001</c:v>
                </c:pt>
                <c:pt idx="46">
                  <c:v>109.84889</c:v>
                </c:pt>
                <c:pt idx="47">
                  <c:v>124.8686</c:v>
                </c:pt>
                <c:pt idx="48">
                  <c:v>130.78129999999999</c:v>
                </c:pt>
                <c:pt idx="49">
                  <c:v>67.554500000000004</c:v>
                </c:pt>
                <c:pt idx="50">
                  <c:v>123.1681</c:v>
                </c:pt>
                <c:pt idx="51">
                  <c:v>115.0303</c:v>
                </c:pt>
                <c:pt idx="52">
                  <c:v>99.171255000000002</c:v>
                </c:pt>
                <c:pt idx="53">
                  <c:v>91.576310000000007</c:v>
                </c:pt>
                <c:pt idx="54">
                  <c:v>103.7304</c:v>
                </c:pt>
                <c:pt idx="55">
                  <c:v>99.146922000000004</c:v>
                </c:pt>
                <c:pt idx="56">
                  <c:v>86.824100000000001</c:v>
                </c:pt>
                <c:pt idx="57">
                  <c:v>78.481099999999998</c:v>
                </c:pt>
                <c:pt idx="58">
                  <c:v>121.63040000000001</c:v>
                </c:pt>
                <c:pt idx="59">
                  <c:v>117.3853</c:v>
                </c:pt>
                <c:pt idx="60">
                  <c:v>97.772270000000006</c:v>
                </c:pt>
                <c:pt idx="61">
                  <c:v>110.2996</c:v>
                </c:pt>
                <c:pt idx="62">
                  <c:v>120.2383</c:v>
                </c:pt>
                <c:pt idx="63">
                  <c:v>102.45668000000001</c:v>
                </c:pt>
                <c:pt idx="64">
                  <c:v>113.02719999999999</c:v>
                </c:pt>
                <c:pt idx="65">
                  <c:v>117.4678</c:v>
                </c:pt>
                <c:pt idx="66">
                  <c:v>71.403400000000005</c:v>
                </c:pt>
                <c:pt idx="67">
                  <c:v>81.845300000000009</c:v>
                </c:pt>
                <c:pt idx="68">
                  <c:v>110.8626</c:v>
                </c:pt>
                <c:pt idx="69">
                  <c:v>78.456800000000001</c:v>
                </c:pt>
                <c:pt idx="70">
                  <c:v>83.776499999999999</c:v>
                </c:pt>
                <c:pt idx="71">
                  <c:v>114.57689999999999</c:v>
                </c:pt>
                <c:pt idx="72">
                  <c:v>74.971000000000004</c:v>
                </c:pt>
                <c:pt idx="73">
                  <c:v>112.68899999999999</c:v>
                </c:pt>
                <c:pt idx="74">
                  <c:v>94.745400000000004</c:v>
                </c:pt>
                <c:pt idx="75">
                  <c:v>90.92407</c:v>
                </c:pt>
                <c:pt idx="76">
                  <c:v>98.110659999999996</c:v>
                </c:pt>
                <c:pt idx="77">
                  <c:v>88.9392</c:v>
                </c:pt>
                <c:pt idx="78">
                  <c:v>90.566460000000006</c:v>
                </c:pt>
                <c:pt idx="79">
                  <c:v>99.852708000000007</c:v>
                </c:pt>
                <c:pt idx="80">
                  <c:v>102.31616</c:v>
                </c:pt>
                <c:pt idx="81">
                  <c:v>113.8043</c:v>
                </c:pt>
                <c:pt idx="82">
                  <c:v>104.87797999999999</c:v>
                </c:pt>
                <c:pt idx="83">
                  <c:v>73.114499999999992</c:v>
                </c:pt>
                <c:pt idx="84">
                  <c:v>75.753600000000006</c:v>
                </c:pt>
                <c:pt idx="85">
                  <c:v>86.551299999999998</c:v>
                </c:pt>
                <c:pt idx="86">
                  <c:v>106.28650999999999</c:v>
                </c:pt>
                <c:pt idx="87">
                  <c:v>86.603200000000001</c:v>
                </c:pt>
                <c:pt idx="88">
                  <c:v>119.5642</c:v>
                </c:pt>
                <c:pt idx="89">
                  <c:v>108.47626</c:v>
                </c:pt>
                <c:pt idx="90">
                  <c:v>105.94306</c:v>
                </c:pt>
                <c:pt idx="91">
                  <c:v>78.250900000000001</c:v>
                </c:pt>
                <c:pt idx="92">
                  <c:v>107.54918000000001</c:v>
                </c:pt>
                <c:pt idx="93">
                  <c:v>104.90916</c:v>
                </c:pt>
                <c:pt idx="94">
                  <c:v>105.82665</c:v>
                </c:pt>
                <c:pt idx="95">
                  <c:v>96.986590000000007</c:v>
                </c:pt>
                <c:pt idx="96">
                  <c:v>113.2124</c:v>
                </c:pt>
                <c:pt idx="97">
                  <c:v>105.95694</c:v>
                </c:pt>
                <c:pt idx="98">
                  <c:v>98.467550000000003</c:v>
                </c:pt>
                <c:pt idx="99">
                  <c:v>92.535570000000007</c:v>
                </c:pt>
                <c:pt idx="100">
                  <c:v>88.880700000000004</c:v>
                </c:pt>
                <c:pt idx="101">
                  <c:v>96.219729999999998</c:v>
                </c:pt>
                <c:pt idx="102">
                  <c:v>102.31968999999999</c:v>
                </c:pt>
                <c:pt idx="103">
                  <c:v>87.999899999999997</c:v>
                </c:pt>
                <c:pt idx="104">
                  <c:v>88.073099999999997</c:v>
                </c:pt>
                <c:pt idx="105">
                  <c:v>102.50447</c:v>
                </c:pt>
                <c:pt idx="106">
                  <c:v>79.496899999999997</c:v>
                </c:pt>
                <c:pt idx="107">
                  <c:v>116.3843</c:v>
                </c:pt>
                <c:pt idx="108">
                  <c:v>93.548820000000006</c:v>
                </c:pt>
                <c:pt idx="109">
                  <c:v>83.0261</c:v>
                </c:pt>
                <c:pt idx="110">
                  <c:v>99.411133000000007</c:v>
                </c:pt>
                <c:pt idx="111">
                  <c:v>113.1931</c:v>
                </c:pt>
                <c:pt idx="112">
                  <c:v>88.743799999999993</c:v>
                </c:pt>
                <c:pt idx="113">
                  <c:v>116.8085</c:v>
                </c:pt>
                <c:pt idx="114">
                  <c:v>101.63506</c:v>
                </c:pt>
                <c:pt idx="115">
                  <c:v>89.545299999999997</c:v>
                </c:pt>
                <c:pt idx="116">
                  <c:v>111.8535</c:v>
                </c:pt>
                <c:pt idx="117">
                  <c:v>122.408</c:v>
                </c:pt>
                <c:pt idx="118">
                  <c:v>77.427800000000005</c:v>
                </c:pt>
                <c:pt idx="119">
                  <c:v>119.2877</c:v>
                </c:pt>
                <c:pt idx="120">
                  <c:v>108.19275</c:v>
                </c:pt>
                <c:pt idx="121">
                  <c:v>106.97692000000001</c:v>
                </c:pt>
                <c:pt idx="122">
                  <c:v>106.35818</c:v>
                </c:pt>
                <c:pt idx="123">
                  <c:v>112.2295</c:v>
                </c:pt>
                <c:pt idx="124">
                  <c:v>88.701300000000003</c:v>
                </c:pt>
                <c:pt idx="125">
                  <c:v>97.945009999999996</c:v>
                </c:pt>
                <c:pt idx="126">
                  <c:v>96.155599999999993</c:v>
                </c:pt>
                <c:pt idx="127">
                  <c:v>114.107</c:v>
                </c:pt>
                <c:pt idx="128">
                  <c:v>112.3587</c:v>
                </c:pt>
                <c:pt idx="129">
                  <c:v>112.67439999999999</c:v>
                </c:pt>
                <c:pt idx="130">
                  <c:v>113.3784</c:v>
                </c:pt>
                <c:pt idx="131">
                  <c:v>99.732770000000002</c:v>
                </c:pt>
                <c:pt idx="132">
                  <c:v>106.45883000000001</c:v>
                </c:pt>
                <c:pt idx="133">
                  <c:v>101.78928000000001</c:v>
                </c:pt>
                <c:pt idx="134">
                  <c:v>98.382090000000005</c:v>
                </c:pt>
                <c:pt idx="135">
                  <c:v>96.925420000000003</c:v>
                </c:pt>
                <c:pt idx="136">
                  <c:v>94.192769999999996</c:v>
                </c:pt>
                <c:pt idx="137">
                  <c:v>88.983599999999996</c:v>
                </c:pt>
                <c:pt idx="138">
                  <c:v>86.206699999999998</c:v>
                </c:pt>
                <c:pt idx="139">
                  <c:v>105.47575999999999</c:v>
                </c:pt>
                <c:pt idx="140">
                  <c:v>91.849360000000004</c:v>
                </c:pt>
                <c:pt idx="141">
                  <c:v>99.966466100000005</c:v>
                </c:pt>
                <c:pt idx="142">
                  <c:v>112.3844</c:v>
                </c:pt>
                <c:pt idx="143">
                  <c:v>82.222999999999999</c:v>
                </c:pt>
                <c:pt idx="144">
                  <c:v>110.96940000000001</c:v>
                </c:pt>
                <c:pt idx="145">
                  <c:v>121.92619999999999</c:v>
                </c:pt>
                <c:pt idx="146">
                  <c:v>104.55372</c:v>
                </c:pt>
                <c:pt idx="147">
                  <c:v>93.396699999999996</c:v>
                </c:pt>
                <c:pt idx="148">
                  <c:v>102.24298</c:v>
                </c:pt>
                <c:pt idx="149">
                  <c:v>102.78706</c:v>
                </c:pt>
                <c:pt idx="150">
                  <c:v>102.70108999999999</c:v>
                </c:pt>
                <c:pt idx="151">
                  <c:v>89.984099999999998</c:v>
                </c:pt>
                <c:pt idx="152">
                  <c:v>100.456701</c:v>
                </c:pt>
                <c:pt idx="153">
                  <c:v>89.235399999999998</c:v>
                </c:pt>
                <c:pt idx="154">
                  <c:v>102.27249</c:v>
                </c:pt>
                <c:pt idx="155">
                  <c:v>94.032259999999994</c:v>
                </c:pt>
                <c:pt idx="156">
                  <c:v>115.7869</c:v>
                </c:pt>
                <c:pt idx="157">
                  <c:v>87.516199999999998</c:v>
                </c:pt>
                <c:pt idx="158">
                  <c:v>105.50844000000001</c:v>
                </c:pt>
                <c:pt idx="159">
                  <c:v>107.46526</c:v>
                </c:pt>
                <c:pt idx="160">
                  <c:v>125.45869999999999</c:v>
                </c:pt>
                <c:pt idx="161">
                  <c:v>104.93826</c:v>
                </c:pt>
                <c:pt idx="162">
                  <c:v>103.47772999999999</c:v>
                </c:pt>
                <c:pt idx="163">
                  <c:v>81.780500000000004</c:v>
                </c:pt>
                <c:pt idx="164">
                  <c:v>99.344707999999997</c:v>
                </c:pt>
                <c:pt idx="165">
                  <c:v>94.752340000000004</c:v>
                </c:pt>
                <c:pt idx="166">
                  <c:v>100.37894799999999</c:v>
                </c:pt>
                <c:pt idx="167">
                  <c:v>104.25999</c:v>
                </c:pt>
                <c:pt idx="168">
                  <c:v>95.283240000000006</c:v>
                </c:pt>
                <c:pt idx="169">
                  <c:v>107.14013</c:v>
                </c:pt>
                <c:pt idx="170">
                  <c:v>98.653490000000005</c:v>
                </c:pt>
                <c:pt idx="171">
                  <c:v>99.318037000000004</c:v>
                </c:pt>
                <c:pt idx="172">
                  <c:v>99.894075000000001</c:v>
                </c:pt>
                <c:pt idx="173">
                  <c:v>107.53309</c:v>
                </c:pt>
                <c:pt idx="174">
                  <c:v>103.47309</c:v>
                </c:pt>
                <c:pt idx="175">
                  <c:v>110.6841</c:v>
                </c:pt>
                <c:pt idx="176">
                  <c:v>113.8407</c:v>
                </c:pt>
                <c:pt idx="177">
                  <c:v>116.35939999999999</c:v>
                </c:pt>
                <c:pt idx="178">
                  <c:v>115.1277</c:v>
                </c:pt>
                <c:pt idx="179">
                  <c:v>85.096699999999998</c:v>
                </c:pt>
                <c:pt idx="180">
                  <c:v>90.846059999999994</c:v>
                </c:pt>
                <c:pt idx="181">
                  <c:v>88.033100000000005</c:v>
                </c:pt>
                <c:pt idx="182">
                  <c:v>84.857500000000002</c:v>
                </c:pt>
                <c:pt idx="183">
                  <c:v>92.293899999999994</c:v>
                </c:pt>
                <c:pt idx="184">
                  <c:v>89.883800000000008</c:v>
                </c:pt>
                <c:pt idx="185">
                  <c:v>120.68090000000001</c:v>
                </c:pt>
                <c:pt idx="186">
                  <c:v>127.1754</c:v>
                </c:pt>
                <c:pt idx="187">
                  <c:v>101.86342999999999</c:v>
                </c:pt>
                <c:pt idx="188">
                  <c:v>101.82441</c:v>
                </c:pt>
                <c:pt idx="189">
                  <c:v>98.593530000000001</c:v>
                </c:pt>
                <c:pt idx="190">
                  <c:v>96.492400000000004</c:v>
                </c:pt>
                <c:pt idx="191">
                  <c:v>98.557019999999994</c:v>
                </c:pt>
                <c:pt idx="192">
                  <c:v>125.3532</c:v>
                </c:pt>
                <c:pt idx="193">
                  <c:v>93.2273</c:v>
                </c:pt>
                <c:pt idx="194">
                  <c:v>95.932330000000007</c:v>
                </c:pt>
                <c:pt idx="195">
                  <c:v>90.247249999999994</c:v>
                </c:pt>
                <c:pt idx="196">
                  <c:v>95.374439999999993</c:v>
                </c:pt>
                <c:pt idx="197">
                  <c:v>100.183376</c:v>
                </c:pt>
                <c:pt idx="198">
                  <c:v>88.977800000000002</c:v>
                </c:pt>
                <c:pt idx="199">
                  <c:v>107.25045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EF-4188-A22E-BE221DA50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054528"/>
        <c:axId val="162056064"/>
      </c:lineChart>
      <c:catAx>
        <c:axId val="162054528"/>
        <c:scaling>
          <c:orientation val="minMax"/>
        </c:scaling>
        <c:delete val="0"/>
        <c:axPos val="b"/>
        <c:majorTickMark val="out"/>
        <c:minorTickMark val="none"/>
        <c:tickLblPos val="nextTo"/>
        <c:crossAx val="162056064"/>
        <c:crosses val="autoZero"/>
        <c:auto val="1"/>
        <c:lblAlgn val="ctr"/>
        <c:lblOffset val="100"/>
        <c:noMultiLvlLbl val="0"/>
      </c:catAx>
      <c:valAx>
        <c:axId val="162056064"/>
        <c:scaling>
          <c:orientation val="minMax"/>
          <c:min val="60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62054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'6.2.1'!$B$1:$B$200</c:f>
              <c:numCache>
                <c:formatCode>General</c:formatCode>
                <c:ptCount val="200"/>
                <c:pt idx="0">
                  <c:v>81</c:v>
                </c:pt>
                <c:pt idx="1">
                  <c:v>77</c:v>
                </c:pt>
                <c:pt idx="2">
                  <c:v>80</c:v>
                </c:pt>
                <c:pt idx="3">
                  <c:v>80</c:v>
                </c:pt>
                <c:pt idx="4">
                  <c:v>82</c:v>
                </c:pt>
                <c:pt idx="5">
                  <c:v>79</c:v>
                </c:pt>
                <c:pt idx="6">
                  <c:v>77</c:v>
                </c:pt>
                <c:pt idx="7">
                  <c:v>80</c:v>
                </c:pt>
                <c:pt idx="8">
                  <c:v>80</c:v>
                </c:pt>
                <c:pt idx="9">
                  <c:v>80</c:v>
                </c:pt>
                <c:pt idx="10">
                  <c:v>76</c:v>
                </c:pt>
                <c:pt idx="11">
                  <c:v>72</c:v>
                </c:pt>
                <c:pt idx="12">
                  <c:v>76</c:v>
                </c:pt>
                <c:pt idx="13">
                  <c:v>80</c:v>
                </c:pt>
                <c:pt idx="14">
                  <c:v>77</c:v>
                </c:pt>
                <c:pt idx="15">
                  <c:v>79</c:v>
                </c:pt>
                <c:pt idx="16">
                  <c:v>84</c:v>
                </c:pt>
                <c:pt idx="17">
                  <c:v>83</c:v>
                </c:pt>
                <c:pt idx="18">
                  <c:v>81</c:v>
                </c:pt>
                <c:pt idx="19">
                  <c:v>84</c:v>
                </c:pt>
                <c:pt idx="20">
                  <c:v>84</c:v>
                </c:pt>
                <c:pt idx="21">
                  <c:v>80</c:v>
                </c:pt>
                <c:pt idx="22">
                  <c:v>82</c:v>
                </c:pt>
                <c:pt idx="23">
                  <c:v>83</c:v>
                </c:pt>
                <c:pt idx="24">
                  <c:v>81</c:v>
                </c:pt>
                <c:pt idx="25">
                  <c:v>81</c:v>
                </c:pt>
                <c:pt idx="26">
                  <c:v>82</c:v>
                </c:pt>
                <c:pt idx="27">
                  <c:v>80</c:v>
                </c:pt>
                <c:pt idx="28">
                  <c:v>82</c:v>
                </c:pt>
                <c:pt idx="29">
                  <c:v>85</c:v>
                </c:pt>
                <c:pt idx="30">
                  <c:v>85</c:v>
                </c:pt>
                <c:pt idx="31">
                  <c:v>85</c:v>
                </c:pt>
                <c:pt idx="32">
                  <c:v>89</c:v>
                </c:pt>
                <c:pt idx="33">
                  <c:v>91</c:v>
                </c:pt>
                <c:pt idx="34">
                  <c:v>95</c:v>
                </c:pt>
                <c:pt idx="35">
                  <c:v>92</c:v>
                </c:pt>
                <c:pt idx="36">
                  <c:v>92</c:v>
                </c:pt>
                <c:pt idx="37">
                  <c:v>94</c:v>
                </c:pt>
                <c:pt idx="38">
                  <c:v>91</c:v>
                </c:pt>
                <c:pt idx="39">
                  <c:v>96</c:v>
                </c:pt>
                <c:pt idx="40">
                  <c:v>101</c:v>
                </c:pt>
                <c:pt idx="41">
                  <c:v>103</c:v>
                </c:pt>
                <c:pt idx="42">
                  <c:v>104</c:v>
                </c:pt>
                <c:pt idx="43">
                  <c:v>104</c:v>
                </c:pt>
                <c:pt idx="44">
                  <c:v>100</c:v>
                </c:pt>
                <c:pt idx="45">
                  <c:v>98</c:v>
                </c:pt>
                <c:pt idx="46">
                  <c:v>100</c:v>
                </c:pt>
                <c:pt idx="47">
                  <c:v>96</c:v>
                </c:pt>
                <c:pt idx="48">
                  <c:v>99</c:v>
                </c:pt>
                <c:pt idx="49">
                  <c:v>97</c:v>
                </c:pt>
                <c:pt idx="50">
                  <c:v>99</c:v>
                </c:pt>
                <c:pt idx="51">
                  <c:v>98</c:v>
                </c:pt>
                <c:pt idx="52">
                  <c:v>94</c:v>
                </c:pt>
                <c:pt idx="53">
                  <c:v>93</c:v>
                </c:pt>
                <c:pt idx="54">
                  <c:v>91</c:v>
                </c:pt>
                <c:pt idx="55">
                  <c:v>87</c:v>
                </c:pt>
                <c:pt idx="56">
                  <c:v>83</c:v>
                </c:pt>
                <c:pt idx="57">
                  <c:v>86</c:v>
                </c:pt>
                <c:pt idx="58">
                  <c:v>83</c:v>
                </c:pt>
                <c:pt idx="59">
                  <c:v>85</c:v>
                </c:pt>
                <c:pt idx="60">
                  <c:v>81</c:v>
                </c:pt>
                <c:pt idx="61">
                  <c:v>79</c:v>
                </c:pt>
                <c:pt idx="62">
                  <c:v>78</c:v>
                </c:pt>
                <c:pt idx="63">
                  <c:v>82</c:v>
                </c:pt>
                <c:pt idx="64">
                  <c:v>78</c:v>
                </c:pt>
                <c:pt idx="65">
                  <c:v>81</c:v>
                </c:pt>
                <c:pt idx="66">
                  <c:v>83</c:v>
                </c:pt>
                <c:pt idx="67">
                  <c:v>86</c:v>
                </c:pt>
                <c:pt idx="68">
                  <c:v>89</c:v>
                </c:pt>
                <c:pt idx="69">
                  <c:v>94</c:v>
                </c:pt>
                <c:pt idx="70">
                  <c:v>92</c:v>
                </c:pt>
                <c:pt idx="71">
                  <c:v>96</c:v>
                </c:pt>
                <c:pt idx="72">
                  <c:v>96</c:v>
                </c:pt>
                <c:pt idx="73">
                  <c:v>99</c:v>
                </c:pt>
                <c:pt idx="74">
                  <c:v>97</c:v>
                </c:pt>
                <c:pt idx="75">
                  <c:v>100</c:v>
                </c:pt>
                <c:pt idx="76">
                  <c:v>96</c:v>
                </c:pt>
                <c:pt idx="77">
                  <c:v>101</c:v>
                </c:pt>
                <c:pt idx="78">
                  <c:v>101</c:v>
                </c:pt>
                <c:pt idx="79">
                  <c:v>102</c:v>
                </c:pt>
                <c:pt idx="80">
                  <c:v>101</c:v>
                </c:pt>
                <c:pt idx="81">
                  <c:v>98</c:v>
                </c:pt>
                <c:pt idx="82">
                  <c:v>98</c:v>
                </c:pt>
                <c:pt idx="83">
                  <c:v>94</c:v>
                </c:pt>
                <c:pt idx="84">
                  <c:v>93</c:v>
                </c:pt>
                <c:pt idx="85">
                  <c:v>96</c:v>
                </c:pt>
                <c:pt idx="86">
                  <c:v>93</c:v>
                </c:pt>
                <c:pt idx="87">
                  <c:v>89</c:v>
                </c:pt>
                <c:pt idx="88">
                  <c:v>87</c:v>
                </c:pt>
                <c:pt idx="89">
                  <c:v>92</c:v>
                </c:pt>
                <c:pt idx="90">
                  <c:v>91</c:v>
                </c:pt>
                <c:pt idx="91">
                  <c:v>94</c:v>
                </c:pt>
                <c:pt idx="92">
                  <c:v>95</c:v>
                </c:pt>
                <c:pt idx="93">
                  <c:v>93</c:v>
                </c:pt>
                <c:pt idx="94">
                  <c:v>90</c:v>
                </c:pt>
                <c:pt idx="95">
                  <c:v>92</c:v>
                </c:pt>
                <c:pt idx="96">
                  <c:v>90</c:v>
                </c:pt>
                <c:pt idx="97">
                  <c:v>87</c:v>
                </c:pt>
                <c:pt idx="98">
                  <c:v>85</c:v>
                </c:pt>
                <c:pt idx="99">
                  <c:v>87</c:v>
                </c:pt>
                <c:pt idx="100">
                  <c:v>83</c:v>
                </c:pt>
                <c:pt idx="101">
                  <c:v>84</c:v>
                </c:pt>
                <c:pt idx="102">
                  <c:v>82</c:v>
                </c:pt>
                <c:pt idx="103">
                  <c:v>84</c:v>
                </c:pt>
                <c:pt idx="104">
                  <c:v>81</c:v>
                </c:pt>
                <c:pt idx="105">
                  <c:v>84</c:v>
                </c:pt>
                <c:pt idx="106">
                  <c:v>89</c:v>
                </c:pt>
                <c:pt idx="107">
                  <c:v>91</c:v>
                </c:pt>
                <c:pt idx="108">
                  <c:v>88</c:v>
                </c:pt>
                <c:pt idx="109">
                  <c:v>84</c:v>
                </c:pt>
                <c:pt idx="110">
                  <c:v>80</c:v>
                </c:pt>
                <c:pt idx="111">
                  <c:v>82</c:v>
                </c:pt>
                <c:pt idx="112">
                  <c:v>85</c:v>
                </c:pt>
                <c:pt idx="113">
                  <c:v>84</c:v>
                </c:pt>
                <c:pt idx="114">
                  <c:v>87</c:v>
                </c:pt>
                <c:pt idx="115">
                  <c:v>89</c:v>
                </c:pt>
                <c:pt idx="116">
                  <c:v>91</c:v>
                </c:pt>
                <c:pt idx="117">
                  <c:v>88</c:v>
                </c:pt>
                <c:pt idx="118">
                  <c:v>91</c:v>
                </c:pt>
                <c:pt idx="119">
                  <c:v>89</c:v>
                </c:pt>
                <c:pt idx="120">
                  <c:v>87</c:v>
                </c:pt>
                <c:pt idx="121">
                  <c:v>92</c:v>
                </c:pt>
                <c:pt idx="122">
                  <c:v>93</c:v>
                </c:pt>
                <c:pt idx="123">
                  <c:v>98</c:v>
                </c:pt>
                <c:pt idx="124">
                  <c:v>102</c:v>
                </c:pt>
                <c:pt idx="125">
                  <c:v>100</c:v>
                </c:pt>
                <c:pt idx="126">
                  <c:v>103</c:v>
                </c:pt>
                <c:pt idx="127">
                  <c:v>108</c:v>
                </c:pt>
                <c:pt idx="128">
                  <c:v>109</c:v>
                </c:pt>
                <c:pt idx="129">
                  <c:v>110</c:v>
                </c:pt>
                <c:pt idx="130">
                  <c:v>106</c:v>
                </c:pt>
                <c:pt idx="131">
                  <c:v>110</c:v>
                </c:pt>
                <c:pt idx="132">
                  <c:v>106</c:v>
                </c:pt>
                <c:pt idx="133">
                  <c:v>102</c:v>
                </c:pt>
                <c:pt idx="134">
                  <c:v>106</c:v>
                </c:pt>
                <c:pt idx="135">
                  <c:v>102</c:v>
                </c:pt>
                <c:pt idx="136">
                  <c:v>100</c:v>
                </c:pt>
                <c:pt idx="137">
                  <c:v>101</c:v>
                </c:pt>
                <c:pt idx="138">
                  <c:v>104</c:v>
                </c:pt>
                <c:pt idx="139">
                  <c:v>113</c:v>
                </c:pt>
                <c:pt idx="140">
                  <c:v>112</c:v>
                </c:pt>
                <c:pt idx="141">
                  <c:v>116</c:v>
                </c:pt>
                <c:pt idx="142">
                  <c:v>116</c:v>
                </c:pt>
                <c:pt idx="143">
                  <c:v>114</c:v>
                </c:pt>
                <c:pt idx="144">
                  <c:v>113</c:v>
                </c:pt>
                <c:pt idx="145">
                  <c:v>118</c:v>
                </c:pt>
                <c:pt idx="146">
                  <c:v>121</c:v>
                </c:pt>
                <c:pt idx="147">
                  <c:v>119</c:v>
                </c:pt>
                <c:pt idx="148">
                  <c:v>117</c:v>
                </c:pt>
                <c:pt idx="149">
                  <c:v>117</c:v>
                </c:pt>
                <c:pt idx="150">
                  <c:v>113</c:v>
                </c:pt>
                <c:pt idx="151">
                  <c:v>115</c:v>
                </c:pt>
                <c:pt idx="152">
                  <c:v>112</c:v>
                </c:pt>
                <c:pt idx="153">
                  <c:v>116</c:v>
                </c:pt>
                <c:pt idx="154">
                  <c:v>117</c:v>
                </c:pt>
                <c:pt idx="155">
                  <c:v>118</c:v>
                </c:pt>
                <c:pt idx="156">
                  <c:v>120</c:v>
                </c:pt>
                <c:pt idx="157">
                  <c:v>119</c:v>
                </c:pt>
                <c:pt idx="158">
                  <c:v>115</c:v>
                </c:pt>
                <c:pt idx="159">
                  <c:v>120</c:v>
                </c:pt>
                <c:pt idx="160">
                  <c:v>127</c:v>
                </c:pt>
                <c:pt idx="161">
                  <c:v>123</c:v>
                </c:pt>
                <c:pt idx="162">
                  <c:v>124</c:v>
                </c:pt>
                <c:pt idx="163">
                  <c:v>126</c:v>
                </c:pt>
                <c:pt idx="164">
                  <c:v>128</c:v>
                </c:pt>
                <c:pt idx="165">
                  <c:v>127</c:v>
                </c:pt>
                <c:pt idx="166">
                  <c:v>131</c:v>
                </c:pt>
                <c:pt idx="167">
                  <c:v>128</c:v>
                </c:pt>
                <c:pt idx="168">
                  <c:v>125</c:v>
                </c:pt>
                <c:pt idx="169">
                  <c:v>130</c:v>
                </c:pt>
                <c:pt idx="170">
                  <c:v>127</c:v>
                </c:pt>
                <c:pt idx="171">
                  <c:v>127</c:v>
                </c:pt>
                <c:pt idx="172">
                  <c:v>126</c:v>
                </c:pt>
                <c:pt idx="173">
                  <c:v>127</c:v>
                </c:pt>
                <c:pt idx="174">
                  <c:v>130</c:v>
                </c:pt>
                <c:pt idx="175">
                  <c:v>127</c:v>
                </c:pt>
                <c:pt idx="176">
                  <c:v>125</c:v>
                </c:pt>
                <c:pt idx="177">
                  <c:v>126</c:v>
                </c:pt>
                <c:pt idx="178">
                  <c:v>125</c:v>
                </c:pt>
                <c:pt idx="179">
                  <c:v>130</c:v>
                </c:pt>
                <c:pt idx="180">
                  <c:v>137</c:v>
                </c:pt>
                <c:pt idx="181">
                  <c:v>136</c:v>
                </c:pt>
                <c:pt idx="182">
                  <c:v>137</c:v>
                </c:pt>
                <c:pt idx="183">
                  <c:v>134</c:v>
                </c:pt>
                <c:pt idx="184">
                  <c:v>138</c:v>
                </c:pt>
                <c:pt idx="185">
                  <c:v>136</c:v>
                </c:pt>
                <c:pt idx="186">
                  <c:v>136</c:v>
                </c:pt>
                <c:pt idx="187">
                  <c:v>138</c:v>
                </c:pt>
                <c:pt idx="188">
                  <c:v>139</c:v>
                </c:pt>
                <c:pt idx="189">
                  <c:v>138</c:v>
                </c:pt>
                <c:pt idx="190">
                  <c:v>139</c:v>
                </c:pt>
                <c:pt idx="191">
                  <c:v>137</c:v>
                </c:pt>
                <c:pt idx="192">
                  <c:v>133</c:v>
                </c:pt>
                <c:pt idx="193">
                  <c:v>130</c:v>
                </c:pt>
                <c:pt idx="194">
                  <c:v>127</c:v>
                </c:pt>
                <c:pt idx="195">
                  <c:v>126</c:v>
                </c:pt>
                <c:pt idx="196">
                  <c:v>128</c:v>
                </c:pt>
                <c:pt idx="197">
                  <c:v>127</c:v>
                </c:pt>
                <c:pt idx="198">
                  <c:v>123</c:v>
                </c:pt>
                <c:pt idx="199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0F-4865-BD2C-10DC8D163E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140928"/>
        <c:axId val="162142464"/>
      </c:lineChart>
      <c:catAx>
        <c:axId val="162140928"/>
        <c:scaling>
          <c:orientation val="minMax"/>
        </c:scaling>
        <c:delete val="0"/>
        <c:axPos val="b"/>
        <c:majorTickMark val="out"/>
        <c:minorTickMark val="none"/>
        <c:tickLblPos val="nextTo"/>
        <c:crossAx val="162142464"/>
        <c:crosses val="autoZero"/>
        <c:auto val="1"/>
        <c:lblAlgn val="ctr"/>
        <c:lblOffset val="100"/>
        <c:noMultiLvlLbl val="0"/>
      </c:catAx>
      <c:valAx>
        <c:axId val="162142464"/>
        <c:scaling>
          <c:orientation val="minMax"/>
          <c:min val="6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1409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'6.3.1-5'!$L$1:$L$11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2.5</c:v>
                </c:pt>
                <c:pt idx="3">
                  <c:v>3.5</c:v>
                </c:pt>
                <c:pt idx="4">
                  <c:v>4.5</c:v>
                </c:pt>
                <c:pt idx="5">
                  <c:v>5.5</c:v>
                </c:pt>
                <c:pt idx="6">
                  <c:v>6.5</c:v>
                </c:pt>
                <c:pt idx="7">
                  <c:v>7.5</c:v>
                </c:pt>
                <c:pt idx="8">
                  <c:v>8.5</c:v>
                </c:pt>
                <c:pt idx="9">
                  <c:v>9.5</c:v>
                </c:pt>
                <c:pt idx="10">
                  <c:v>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86-4CE2-A4C2-D9315F546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170368"/>
        <c:axId val="162171904"/>
      </c:lineChart>
      <c:catAx>
        <c:axId val="162170368"/>
        <c:scaling>
          <c:orientation val="minMax"/>
        </c:scaling>
        <c:delete val="0"/>
        <c:axPos val="b"/>
        <c:majorTickMark val="out"/>
        <c:minorTickMark val="none"/>
        <c:tickLblPos val="nextTo"/>
        <c:crossAx val="162171904"/>
        <c:crosses val="autoZero"/>
        <c:auto val="1"/>
        <c:lblAlgn val="ctr"/>
        <c:lblOffset val="100"/>
        <c:noMultiLvlLbl val="0"/>
      </c:catAx>
      <c:valAx>
        <c:axId val="1621719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1703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trendline>
            <c:trendlineType val="linear"/>
            <c:dispRSqr val="0"/>
            <c:dispEq val="0"/>
          </c:trendline>
          <c:val>
            <c:numRef>
              <c:f>'6.3.1-5'!$B$2:$B$47</c:f>
              <c:numCache>
                <c:formatCode>General</c:formatCode>
                <c:ptCount val="46"/>
                <c:pt idx="0">
                  <c:v>81.31</c:v>
                </c:pt>
                <c:pt idx="1">
                  <c:v>80.69</c:v>
                </c:pt>
                <c:pt idx="2">
                  <c:v>90.19</c:v>
                </c:pt>
                <c:pt idx="3">
                  <c:v>85.81</c:v>
                </c:pt>
                <c:pt idx="4">
                  <c:v>92.56</c:v>
                </c:pt>
                <c:pt idx="5">
                  <c:v>90.56</c:v>
                </c:pt>
                <c:pt idx="6">
                  <c:v>92.56</c:v>
                </c:pt>
                <c:pt idx="7">
                  <c:v>91.05</c:v>
                </c:pt>
                <c:pt idx="8">
                  <c:v>116.75</c:v>
                </c:pt>
                <c:pt idx="9">
                  <c:v>97.87</c:v>
                </c:pt>
                <c:pt idx="10">
                  <c:v>89.37</c:v>
                </c:pt>
                <c:pt idx="11">
                  <c:v>106.25</c:v>
                </c:pt>
                <c:pt idx="12">
                  <c:v>69.75</c:v>
                </c:pt>
                <c:pt idx="13">
                  <c:v>62.56</c:v>
                </c:pt>
                <c:pt idx="14">
                  <c:v>80</c:v>
                </c:pt>
                <c:pt idx="15">
                  <c:v>69.81</c:v>
                </c:pt>
                <c:pt idx="16">
                  <c:v>69.81</c:v>
                </c:pt>
                <c:pt idx="17">
                  <c:v>60.31</c:v>
                </c:pt>
                <c:pt idx="18">
                  <c:v>68.87</c:v>
                </c:pt>
                <c:pt idx="19">
                  <c:v>57.38</c:v>
                </c:pt>
                <c:pt idx="20">
                  <c:v>43.38</c:v>
                </c:pt>
                <c:pt idx="21">
                  <c:v>61.06</c:v>
                </c:pt>
                <c:pt idx="22">
                  <c:v>59</c:v>
                </c:pt>
                <c:pt idx="23">
                  <c:v>54.69</c:v>
                </c:pt>
                <c:pt idx="24">
                  <c:v>67.75</c:v>
                </c:pt>
                <c:pt idx="25">
                  <c:v>69.180000000000007</c:v>
                </c:pt>
                <c:pt idx="26">
                  <c:v>73</c:v>
                </c:pt>
                <c:pt idx="27">
                  <c:v>66.19</c:v>
                </c:pt>
                <c:pt idx="28">
                  <c:v>57.05</c:v>
                </c:pt>
                <c:pt idx="29">
                  <c:v>51.17</c:v>
                </c:pt>
                <c:pt idx="30">
                  <c:v>58.15</c:v>
                </c:pt>
                <c:pt idx="31">
                  <c:v>64.209999999999994</c:v>
                </c:pt>
                <c:pt idx="32">
                  <c:v>66.25</c:v>
                </c:pt>
                <c:pt idx="33">
                  <c:v>63.71</c:v>
                </c:pt>
                <c:pt idx="34">
                  <c:v>58.34</c:v>
                </c:pt>
                <c:pt idx="35">
                  <c:v>60.31</c:v>
                </c:pt>
                <c:pt idx="36">
                  <c:v>52.26</c:v>
                </c:pt>
                <c:pt idx="37">
                  <c:v>50.91</c:v>
                </c:pt>
                <c:pt idx="38">
                  <c:v>54.7</c:v>
                </c:pt>
                <c:pt idx="39">
                  <c:v>47.98</c:v>
                </c:pt>
                <c:pt idx="40">
                  <c:v>49.08</c:v>
                </c:pt>
                <c:pt idx="41">
                  <c:v>43.74</c:v>
                </c:pt>
                <c:pt idx="42">
                  <c:v>53.47</c:v>
                </c:pt>
                <c:pt idx="43">
                  <c:v>57.68</c:v>
                </c:pt>
                <c:pt idx="44">
                  <c:v>51.7</c:v>
                </c:pt>
                <c:pt idx="45">
                  <c:v>47.46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9B-4706-A52A-9697E6FE0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196864"/>
        <c:axId val="162346112"/>
      </c:lineChart>
      <c:catAx>
        <c:axId val="162196864"/>
        <c:scaling>
          <c:orientation val="minMax"/>
        </c:scaling>
        <c:delete val="0"/>
        <c:axPos val="b"/>
        <c:majorTickMark val="out"/>
        <c:minorTickMark val="none"/>
        <c:tickLblPos val="nextTo"/>
        <c:crossAx val="162346112"/>
        <c:crosses val="autoZero"/>
        <c:auto val="1"/>
        <c:lblAlgn val="ctr"/>
        <c:lblOffset val="100"/>
        <c:noMultiLvlLbl val="0"/>
      </c:catAx>
      <c:valAx>
        <c:axId val="1623461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196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'6.3.1-5'!$B$1</c:f>
              <c:strCache>
                <c:ptCount val="1"/>
                <c:pt idx="0">
                  <c:v>MSFT</c:v>
                </c:pt>
              </c:strCache>
            </c:strRef>
          </c:tx>
          <c:marker>
            <c:symbol val="none"/>
          </c:marker>
          <c:trendline>
            <c:trendlineType val="exp"/>
            <c:dispRSqr val="0"/>
            <c:dispEq val="0"/>
          </c:trendline>
          <c:trendline>
            <c:trendlineType val="log"/>
            <c:dispRSqr val="0"/>
            <c:dispEq val="0"/>
          </c:trendline>
          <c:trendline>
            <c:trendlineType val="poly"/>
            <c:order val="6"/>
            <c:dispRSqr val="0"/>
            <c:dispEq val="0"/>
          </c:trendline>
          <c:val>
            <c:numRef>
              <c:f>'6.3.1-5'!$B$2:$B$47</c:f>
              <c:numCache>
                <c:formatCode>General</c:formatCode>
                <c:ptCount val="46"/>
                <c:pt idx="0">
                  <c:v>81.31</c:v>
                </c:pt>
                <c:pt idx="1">
                  <c:v>80.69</c:v>
                </c:pt>
                <c:pt idx="2">
                  <c:v>90.19</c:v>
                </c:pt>
                <c:pt idx="3">
                  <c:v>85.81</c:v>
                </c:pt>
                <c:pt idx="4">
                  <c:v>92.56</c:v>
                </c:pt>
                <c:pt idx="5">
                  <c:v>90.56</c:v>
                </c:pt>
                <c:pt idx="6">
                  <c:v>92.56</c:v>
                </c:pt>
                <c:pt idx="7">
                  <c:v>91.05</c:v>
                </c:pt>
                <c:pt idx="8">
                  <c:v>116.75</c:v>
                </c:pt>
                <c:pt idx="9">
                  <c:v>97.87</c:v>
                </c:pt>
                <c:pt idx="10">
                  <c:v>89.37</c:v>
                </c:pt>
                <c:pt idx="11">
                  <c:v>106.25</c:v>
                </c:pt>
                <c:pt idx="12">
                  <c:v>69.75</c:v>
                </c:pt>
                <c:pt idx="13">
                  <c:v>62.56</c:v>
                </c:pt>
                <c:pt idx="14">
                  <c:v>80</c:v>
                </c:pt>
                <c:pt idx="15">
                  <c:v>69.81</c:v>
                </c:pt>
                <c:pt idx="16">
                  <c:v>69.81</c:v>
                </c:pt>
                <c:pt idx="17">
                  <c:v>60.31</c:v>
                </c:pt>
                <c:pt idx="18">
                  <c:v>68.87</c:v>
                </c:pt>
                <c:pt idx="19">
                  <c:v>57.38</c:v>
                </c:pt>
                <c:pt idx="20">
                  <c:v>43.38</c:v>
                </c:pt>
                <c:pt idx="21">
                  <c:v>61.06</c:v>
                </c:pt>
                <c:pt idx="22">
                  <c:v>59</c:v>
                </c:pt>
                <c:pt idx="23">
                  <c:v>54.69</c:v>
                </c:pt>
                <c:pt idx="24">
                  <c:v>67.75</c:v>
                </c:pt>
                <c:pt idx="25">
                  <c:v>69.180000000000007</c:v>
                </c:pt>
                <c:pt idx="26">
                  <c:v>73</c:v>
                </c:pt>
                <c:pt idx="27">
                  <c:v>66.19</c:v>
                </c:pt>
                <c:pt idx="28">
                  <c:v>57.05</c:v>
                </c:pt>
                <c:pt idx="29">
                  <c:v>51.17</c:v>
                </c:pt>
                <c:pt idx="30">
                  <c:v>58.15</c:v>
                </c:pt>
                <c:pt idx="31">
                  <c:v>64.209999999999994</c:v>
                </c:pt>
                <c:pt idx="32">
                  <c:v>66.25</c:v>
                </c:pt>
                <c:pt idx="33">
                  <c:v>63.71</c:v>
                </c:pt>
                <c:pt idx="34">
                  <c:v>58.34</c:v>
                </c:pt>
                <c:pt idx="35">
                  <c:v>60.31</c:v>
                </c:pt>
                <c:pt idx="36">
                  <c:v>52.26</c:v>
                </c:pt>
                <c:pt idx="37">
                  <c:v>50.91</c:v>
                </c:pt>
                <c:pt idx="38">
                  <c:v>54.7</c:v>
                </c:pt>
                <c:pt idx="39">
                  <c:v>47.98</c:v>
                </c:pt>
                <c:pt idx="40">
                  <c:v>49.08</c:v>
                </c:pt>
                <c:pt idx="41">
                  <c:v>43.74</c:v>
                </c:pt>
                <c:pt idx="42">
                  <c:v>53.47</c:v>
                </c:pt>
                <c:pt idx="43">
                  <c:v>57.68</c:v>
                </c:pt>
                <c:pt idx="44">
                  <c:v>51.7</c:v>
                </c:pt>
                <c:pt idx="45">
                  <c:v>47.46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527-43BC-950E-E67005D14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388992"/>
        <c:axId val="162398976"/>
      </c:lineChart>
      <c:catAx>
        <c:axId val="162388992"/>
        <c:scaling>
          <c:orientation val="minMax"/>
        </c:scaling>
        <c:delete val="0"/>
        <c:axPos val="b"/>
        <c:majorTickMark val="out"/>
        <c:minorTickMark val="none"/>
        <c:tickLblPos val="nextTo"/>
        <c:crossAx val="162398976"/>
        <c:crosses val="autoZero"/>
        <c:auto val="1"/>
        <c:lblAlgn val="ctr"/>
        <c:lblOffset val="100"/>
        <c:noMultiLvlLbl val="0"/>
      </c:catAx>
      <c:valAx>
        <c:axId val="162398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388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4" Type="http://schemas.openxmlformats.org/officeDocument/2006/relationships/chart" Target="../charts/chart28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0</xdr:row>
      <xdr:rowOff>76200</xdr:rowOff>
    </xdr:from>
    <xdr:to>
      <xdr:col>12</xdr:col>
      <xdr:colOff>600075</xdr:colOff>
      <xdr:row>14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495300</xdr:colOff>
      <xdr:row>16</xdr:row>
      <xdr:rowOff>104775</xdr:rowOff>
    </xdr:from>
    <xdr:to>
      <xdr:col>15</xdr:col>
      <xdr:colOff>190500</xdr:colOff>
      <xdr:row>30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133350</xdr:colOff>
      <xdr:row>16</xdr:row>
      <xdr:rowOff>76200</xdr:rowOff>
    </xdr:from>
    <xdr:to>
      <xdr:col>7</xdr:col>
      <xdr:colOff>438150</xdr:colOff>
      <xdr:row>30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447675</xdr:colOff>
      <xdr:row>1</xdr:row>
      <xdr:rowOff>9525</xdr:rowOff>
    </xdr:from>
    <xdr:to>
      <xdr:col>21</xdr:col>
      <xdr:colOff>142875</xdr:colOff>
      <xdr:row>15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327660</xdr:colOff>
      <xdr:row>1</xdr:row>
      <xdr:rowOff>106680</xdr:rowOff>
    </xdr:from>
    <xdr:to>
      <xdr:col>22</xdr:col>
      <xdr:colOff>22860</xdr:colOff>
      <xdr:row>16</xdr:row>
      <xdr:rowOff>83820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314325</xdr:colOff>
      <xdr:row>8</xdr:row>
      <xdr:rowOff>171450</xdr:rowOff>
    </xdr:from>
    <xdr:to>
      <xdr:col>18</xdr:col>
      <xdr:colOff>591416</xdr:colOff>
      <xdr:row>22</xdr:row>
      <xdr:rowOff>173429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304800</xdr:colOff>
      <xdr:row>16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</xdr:colOff>
      <xdr:row>17</xdr:row>
      <xdr:rowOff>91440</xdr:rowOff>
    </xdr:from>
    <xdr:to>
      <xdr:col>11</xdr:col>
      <xdr:colOff>381000</xdr:colOff>
      <xdr:row>32</xdr:row>
      <xdr:rowOff>91440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114300</xdr:colOff>
      <xdr:row>0</xdr:row>
      <xdr:rowOff>99060</xdr:rowOff>
    </xdr:from>
    <xdr:to>
      <xdr:col>18</xdr:col>
      <xdr:colOff>441960</xdr:colOff>
      <xdr:row>16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434340</xdr:colOff>
      <xdr:row>0</xdr:row>
      <xdr:rowOff>68580</xdr:rowOff>
    </xdr:from>
    <xdr:to>
      <xdr:col>11</xdr:col>
      <xdr:colOff>190500</xdr:colOff>
      <xdr:row>14</xdr:row>
      <xdr:rowOff>60960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396240</xdr:colOff>
      <xdr:row>15</xdr:row>
      <xdr:rowOff>137160</xdr:rowOff>
    </xdr:from>
    <xdr:to>
      <xdr:col>16</xdr:col>
      <xdr:colOff>396240</xdr:colOff>
      <xdr:row>25</xdr:row>
      <xdr:rowOff>144780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53340</xdr:colOff>
      <xdr:row>29</xdr:row>
      <xdr:rowOff>114300</xdr:rowOff>
    </xdr:from>
    <xdr:to>
      <xdr:col>15</xdr:col>
      <xdr:colOff>358140</xdr:colOff>
      <xdr:row>44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434340</xdr:colOff>
      <xdr:row>44</xdr:row>
      <xdr:rowOff>160020</xdr:rowOff>
    </xdr:from>
    <xdr:to>
      <xdr:col>16</xdr:col>
      <xdr:colOff>129540</xdr:colOff>
      <xdr:row>59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297180</xdr:colOff>
      <xdr:row>60</xdr:row>
      <xdr:rowOff>68580</xdr:rowOff>
    </xdr:from>
    <xdr:to>
      <xdr:col>15</xdr:col>
      <xdr:colOff>601980</xdr:colOff>
      <xdr:row>75</xdr:row>
      <xdr:rowOff>60960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441960</xdr:colOff>
      <xdr:row>55</xdr:row>
      <xdr:rowOff>0</xdr:rowOff>
    </xdr:from>
    <xdr:to>
      <xdr:col>23</xdr:col>
      <xdr:colOff>137160</xdr:colOff>
      <xdr:row>70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</xdr:colOff>
      <xdr:row>7</xdr:row>
      <xdr:rowOff>76200</xdr:rowOff>
    </xdr:from>
    <xdr:to>
      <xdr:col>16</xdr:col>
      <xdr:colOff>358140</xdr:colOff>
      <xdr:row>21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0.08007</cdr:x>
      <cdr:y>0.60299</cdr:y>
    </cdr:from>
    <cdr:to>
      <cdr:x>0.08215</cdr:x>
      <cdr:y>0.78703</cdr:y>
    </cdr:to>
    <cdr:sp macro="" textlink="">
      <cdr:nv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8E394F63-7E26-4688-BE85-08CBBD9077B6}"/>
            </a:ext>
          </a:extLst>
        </cdr:cNvPr>
        <cdr:cNvSpPr/>
      </cdr:nvSpPr>
      <cdr:spPr>
        <a:xfrm xmlns:a="http://schemas.openxmlformats.org/drawingml/2006/main" rot="5400000">
          <a:off x="121408" y="1863995"/>
          <a:ext cx="494815" cy="9458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0.17776</cdr:x>
      <cdr:y>0.1611</cdr:y>
    </cdr:from>
    <cdr:to>
      <cdr:x>0.17776</cdr:x>
      <cdr:y>0.42573</cdr:y>
    </cdr:to>
    <cdr:sp macro="" textlink="">
      <cdr:nvSpPr>
        <cdr:cNvPr id="8" name="Straight Connector 7">
          <a:extLst xmlns:a="http://schemas.openxmlformats.org/drawingml/2006/main">
            <a:ext uri="{FF2B5EF4-FFF2-40B4-BE49-F238E27FC236}">
              <a16:creationId xmlns:a16="http://schemas.microsoft.com/office/drawing/2014/main" id="{B6F63C8D-B27C-4E6F-A7D2-BA092A88DE85}"/>
            </a:ext>
          </a:extLst>
        </cdr:cNvPr>
        <cdr:cNvSpPr/>
      </cdr:nvSpPr>
      <cdr:spPr>
        <a:xfrm xmlns:a="http://schemas.openxmlformats.org/drawingml/2006/main" rot="5400000">
          <a:off x="452531" y="788929"/>
          <a:ext cx="711530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ysClr val="windowText" lastClr="000000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0.12391</cdr:x>
      <cdr:y>0.35956</cdr:y>
    </cdr:from>
    <cdr:to>
      <cdr:x>0.12692</cdr:x>
      <cdr:y>0.6341</cdr:y>
    </cdr:to>
    <cdr:sp macro="" textlink="">
      <cdr:nvSpPr>
        <cdr:cNvPr id="10" name="Straight Connector 9">
          <a:extLst xmlns:a="http://schemas.openxmlformats.org/drawingml/2006/main">
            <a:ext uri="{FF2B5EF4-FFF2-40B4-BE49-F238E27FC236}">
              <a16:creationId xmlns:a16="http://schemas.microsoft.com/office/drawing/2014/main" id="{86E60648-E75F-413E-937B-1850FDC42F35}"/>
            </a:ext>
          </a:extLst>
        </cdr:cNvPr>
        <cdr:cNvSpPr/>
      </cdr:nvSpPr>
      <cdr:spPr>
        <a:xfrm xmlns:a="http://schemas.openxmlformats.org/drawingml/2006/main" rot="5400000">
          <a:off x="201190" y="1329008"/>
          <a:ext cx="738176" cy="13687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ysClr val="windowText" lastClr="000000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0.22729</cdr:x>
      <cdr:y>0.4311</cdr:y>
    </cdr:from>
    <cdr:to>
      <cdr:x>0.2283</cdr:x>
      <cdr:y>0.60475</cdr:y>
    </cdr:to>
    <cdr:sp macro="" textlink="">
      <cdr:nvSpPr>
        <cdr:cNvPr id="12" name="Straight Connector 11">
          <a:extLst xmlns:a="http://schemas.openxmlformats.org/drawingml/2006/main">
            <a:ext uri="{FF2B5EF4-FFF2-40B4-BE49-F238E27FC236}">
              <a16:creationId xmlns:a16="http://schemas.microsoft.com/office/drawing/2014/main" id="{C9A2CD1E-2B47-4788-B09C-53EF3F7A7833}"/>
            </a:ext>
          </a:extLst>
        </cdr:cNvPr>
        <cdr:cNvSpPr/>
      </cdr:nvSpPr>
      <cdr:spPr>
        <a:xfrm xmlns:a="http://schemas.openxmlformats.org/drawingml/2006/main" rot="16200000" flipH="1">
          <a:off x="802360" y="1390278"/>
          <a:ext cx="466905" cy="4592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0.27371</cdr:x>
      <cdr:y>0.51669</cdr:y>
    </cdr:from>
    <cdr:to>
      <cdr:x>0.27471</cdr:x>
      <cdr:y>0.77635</cdr:y>
    </cdr:to>
    <cdr:sp macro="" textlink="">
      <cdr:nvSpPr>
        <cdr:cNvPr id="14" name="Straight Connector 13">
          <a:extLst xmlns:a="http://schemas.openxmlformats.org/drawingml/2006/main">
            <a:ext uri="{FF2B5EF4-FFF2-40B4-BE49-F238E27FC236}">
              <a16:creationId xmlns:a16="http://schemas.microsoft.com/office/drawing/2014/main" id="{6E3AEB84-2772-454A-AD81-20AAD593028C}"/>
            </a:ext>
          </a:extLst>
        </cdr:cNvPr>
        <cdr:cNvSpPr/>
      </cdr:nvSpPr>
      <cdr:spPr>
        <a:xfrm xmlns:a="http://schemas.openxmlformats.org/drawingml/2006/main" rot="16200000" flipH="1">
          <a:off x="897783" y="1736075"/>
          <a:ext cx="698167" cy="4548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0.32354</cdr:x>
      <cdr:y>0.41953</cdr:y>
    </cdr:from>
    <cdr:to>
      <cdr:x>0.32354</cdr:x>
      <cdr:y>0.59153</cdr:y>
    </cdr:to>
    <cdr:sp macro="" textlink="">
      <cdr:nvSpPr>
        <cdr:cNvPr id="16" name="Straight Connector 15">
          <a:extLst xmlns:a="http://schemas.openxmlformats.org/drawingml/2006/main">
            <a:ext uri="{FF2B5EF4-FFF2-40B4-BE49-F238E27FC236}">
              <a16:creationId xmlns:a16="http://schemas.microsoft.com/office/drawing/2014/main" id="{547E6C2A-37BA-46AA-8D34-830936F6F8CD}"/>
            </a:ext>
          </a:extLst>
        </cdr:cNvPr>
        <cdr:cNvSpPr/>
      </cdr:nvSpPr>
      <cdr:spPr>
        <a:xfrm xmlns:a="http://schemas.openxmlformats.org/drawingml/2006/main" rot="5400000">
          <a:off x="1239940" y="1359255"/>
          <a:ext cx="46246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0.36824</cdr:x>
      <cdr:y>0.23595</cdr:y>
    </cdr:from>
    <cdr:to>
      <cdr:x>0.36824</cdr:x>
      <cdr:y>0.41623</cdr:y>
    </cdr:to>
    <cdr:sp macro="" textlink="">
      <cdr:nvSpPr>
        <cdr:cNvPr id="18" name="Straight Connector 17">
          <a:extLst xmlns:a="http://schemas.openxmlformats.org/drawingml/2006/main">
            <a:ext uri="{FF2B5EF4-FFF2-40B4-BE49-F238E27FC236}">
              <a16:creationId xmlns:a16="http://schemas.microsoft.com/office/drawing/2014/main" id="{C2730FAB-4405-4B17-B7CA-72B2DF291A57}"/>
            </a:ext>
          </a:extLst>
        </cdr:cNvPr>
        <cdr:cNvSpPr/>
      </cdr:nvSpPr>
      <cdr:spPr>
        <a:xfrm xmlns:a="http://schemas.openxmlformats.org/drawingml/2006/main" rot="5400000">
          <a:off x="1432065" y="876787"/>
          <a:ext cx="484732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0.42049</cdr:x>
      <cdr:y>0.4344</cdr:y>
    </cdr:from>
    <cdr:to>
      <cdr:x>0.4235</cdr:x>
      <cdr:y>0.61964</cdr:y>
    </cdr:to>
    <cdr:sp macro="" textlink="">
      <cdr:nvSpPr>
        <cdr:cNvPr id="20" name="Straight Connector 19">
          <a:extLst xmlns:a="http://schemas.openxmlformats.org/drawingml/2006/main">
            <a:ext uri="{FF2B5EF4-FFF2-40B4-BE49-F238E27FC236}">
              <a16:creationId xmlns:a16="http://schemas.microsoft.com/office/drawing/2014/main" id="{B3287940-9952-48E5-836E-2263E24D56AF}"/>
            </a:ext>
          </a:extLst>
        </cdr:cNvPr>
        <cdr:cNvSpPr/>
      </cdr:nvSpPr>
      <cdr:spPr>
        <a:xfrm xmlns:a="http://schemas.openxmlformats.org/drawingml/2006/main" rot="16200000" flipH="1">
          <a:off x="1669829" y="1410185"/>
          <a:ext cx="498068" cy="13687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0.4652</cdr:x>
      <cdr:y>0.68993</cdr:y>
    </cdr:from>
    <cdr:to>
      <cdr:x>0.4662</cdr:x>
      <cdr:y>0.78089</cdr:y>
    </cdr:to>
    <cdr:sp macro="" textlink="">
      <cdr:nvSpPr>
        <cdr:cNvPr id="22" name="Straight Connector 21">
          <a:extLst xmlns:a="http://schemas.openxmlformats.org/drawingml/2006/main">
            <a:ext uri="{FF2B5EF4-FFF2-40B4-BE49-F238E27FC236}">
              <a16:creationId xmlns:a16="http://schemas.microsoft.com/office/drawing/2014/main" id="{601AAF0A-F03A-461C-BB22-CC1F2377870F}"/>
            </a:ext>
          </a:extLst>
        </cdr:cNvPr>
        <cdr:cNvSpPr/>
      </cdr:nvSpPr>
      <cdr:spPr>
        <a:xfrm xmlns:a="http://schemas.openxmlformats.org/drawingml/2006/main" rot="5400000">
          <a:off x="1995309" y="1975084"/>
          <a:ext cx="244570" cy="4547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0.51645</cdr:x>
      <cdr:y>0.52371</cdr:y>
    </cdr:from>
    <cdr:to>
      <cdr:x>0.51745</cdr:x>
      <cdr:y>0.60972</cdr:y>
    </cdr:to>
    <cdr:sp macro="" textlink="">
      <cdr:nvSpPr>
        <cdr:cNvPr id="24" name="Straight Connector 23">
          <a:extLst xmlns:a="http://schemas.openxmlformats.org/drawingml/2006/main">
            <a:ext uri="{FF2B5EF4-FFF2-40B4-BE49-F238E27FC236}">
              <a16:creationId xmlns:a16="http://schemas.microsoft.com/office/drawing/2014/main" id="{5E6F1B9A-A275-4B9F-88CA-8C4986BD25D6}"/>
            </a:ext>
          </a:extLst>
        </cdr:cNvPr>
        <cdr:cNvSpPr/>
      </cdr:nvSpPr>
      <cdr:spPr>
        <a:xfrm xmlns:a="http://schemas.openxmlformats.org/drawingml/2006/main" rot="5400000">
          <a:off x="2235002" y="1521485"/>
          <a:ext cx="231261" cy="4547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0.56657</cdr:x>
      <cdr:y>0.15946</cdr:y>
    </cdr:from>
    <cdr:to>
      <cdr:x>0.56657</cdr:x>
      <cdr:y>0.41581</cdr:y>
    </cdr:to>
    <cdr:sp macro="" textlink="">
      <cdr:nvSpPr>
        <cdr:cNvPr id="26" name="Straight Connector 25">
          <a:extLst xmlns:a="http://schemas.openxmlformats.org/drawingml/2006/main">
            <a:ext uri="{FF2B5EF4-FFF2-40B4-BE49-F238E27FC236}">
              <a16:creationId xmlns:a16="http://schemas.microsoft.com/office/drawing/2014/main" id="{47156223-C675-4179-83A7-35200028AD42}"/>
            </a:ext>
          </a:extLst>
        </cdr:cNvPr>
        <cdr:cNvSpPr/>
      </cdr:nvSpPr>
      <cdr:spPr>
        <a:xfrm xmlns:a="http://schemas.openxmlformats.org/drawingml/2006/main" rot="5400000">
          <a:off x="2231627" y="773396"/>
          <a:ext cx="689267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0.61269</cdr:x>
      <cdr:y>0.32775</cdr:y>
    </cdr:from>
    <cdr:to>
      <cdr:x>0.6177</cdr:x>
      <cdr:y>0.61056</cdr:y>
    </cdr:to>
    <cdr:sp macro="" textlink="">
      <cdr:nvSpPr>
        <cdr:cNvPr id="28" name="Straight Connector 27">
          <a:extLst xmlns:a="http://schemas.openxmlformats.org/drawingml/2006/main">
            <a:ext uri="{FF2B5EF4-FFF2-40B4-BE49-F238E27FC236}">
              <a16:creationId xmlns:a16="http://schemas.microsoft.com/office/drawing/2014/main" id="{65942520-93E9-4E2B-815B-F11F80EAC023}"/>
            </a:ext>
          </a:extLst>
        </cdr:cNvPr>
        <cdr:cNvSpPr/>
      </cdr:nvSpPr>
      <cdr:spPr>
        <a:xfrm xmlns:a="http://schemas.openxmlformats.org/drawingml/2006/main" rot="16200000" flipH="1">
          <a:off x="2417160" y="1250048"/>
          <a:ext cx="760412" cy="22781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0.66323</cdr:x>
      <cdr:y>0.69158</cdr:y>
    </cdr:from>
    <cdr:to>
      <cdr:x>0.66323</cdr:x>
      <cdr:y>0.77924</cdr:y>
    </cdr:to>
    <cdr:sp macro="" textlink="">
      <cdr:nvSpPr>
        <cdr:cNvPr id="30" name="Straight Connector 29">
          <a:extLst xmlns:a="http://schemas.openxmlformats.org/drawingml/2006/main">
            <a:ext uri="{FF2B5EF4-FFF2-40B4-BE49-F238E27FC236}">
              <a16:creationId xmlns:a16="http://schemas.microsoft.com/office/drawing/2014/main" id="{76C3175E-CB63-4B06-9E97-65C1F65655A4}"/>
            </a:ext>
          </a:extLst>
        </cdr:cNvPr>
        <cdr:cNvSpPr/>
      </cdr:nvSpPr>
      <cdr:spPr>
        <a:xfrm xmlns:a="http://schemas.openxmlformats.org/drawingml/2006/main" rot="5400000">
          <a:off x="2897937" y="1977358"/>
          <a:ext cx="235698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0.71106</cdr:x>
      <cdr:y>0.31907</cdr:y>
    </cdr:from>
    <cdr:to>
      <cdr:x>0.71407</cdr:x>
      <cdr:y>0.58369</cdr:y>
    </cdr:to>
    <cdr:sp macro="" textlink="">
      <cdr:nvSpPr>
        <cdr:cNvPr id="32" name="Straight Connector 31">
          <a:extLst xmlns:a="http://schemas.openxmlformats.org/drawingml/2006/main">
            <a:ext uri="{FF2B5EF4-FFF2-40B4-BE49-F238E27FC236}">
              <a16:creationId xmlns:a16="http://schemas.microsoft.com/office/drawing/2014/main" id="{70A9EE4A-3849-4E95-ADA2-FF72734BC7E1}"/>
            </a:ext>
          </a:extLst>
        </cdr:cNvPr>
        <cdr:cNvSpPr/>
      </cdr:nvSpPr>
      <cdr:spPr>
        <a:xfrm xmlns:a="http://schemas.openxmlformats.org/drawingml/2006/main" rot="5400000">
          <a:off x="3247842" y="883442"/>
          <a:ext cx="13739" cy="732694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0.76119</cdr:x>
      <cdr:y>0.23844</cdr:y>
    </cdr:from>
    <cdr:to>
      <cdr:x>0.76219</cdr:x>
      <cdr:y>0.41375</cdr:y>
    </cdr:to>
    <cdr:sp macro="" textlink="">
      <cdr:nvSpPr>
        <cdr:cNvPr id="34" name="Straight Connector 33">
          <a:extLst xmlns:a="http://schemas.openxmlformats.org/drawingml/2006/main">
            <a:ext uri="{FF2B5EF4-FFF2-40B4-BE49-F238E27FC236}">
              <a16:creationId xmlns:a16="http://schemas.microsoft.com/office/drawing/2014/main" id="{ACEA78BA-99C1-4221-94FD-B01B498CA5AC}"/>
            </a:ext>
          </a:extLst>
        </cdr:cNvPr>
        <cdr:cNvSpPr/>
      </cdr:nvSpPr>
      <cdr:spPr>
        <a:xfrm xmlns:a="http://schemas.openxmlformats.org/drawingml/2006/main" rot="5400000">
          <a:off x="3227811" y="874509"/>
          <a:ext cx="471369" cy="4547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95250</xdr:rowOff>
    </xdr:from>
    <xdr:to>
      <xdr:col>10</xdr:col>
      <xdr:colOff>323850</xdr:colOff>
      <xdr:row>14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47625</xdr:colOff>
      <xdr:row>15</xdr:row>
      <xdr:rowOff>133350</xdr:rowOff>
    </xdr:from>
    <xdr:to>
      <xdr:col>10</xdr:col>
      <xdr:colOff>352425</xdr:colOff>
      <xdr:row>30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428624</xdr:colOff>
      <xdr:row>12</xdr:row>
      <xdr:rowOff>19049</xdr:rowOff>
    </xdr:from>
    <xdr:to>
      <xdr:col>15</xdr:col>
      <xdr:colOff>228599</xdr:colOff>
      <xdr:row>22</xdr:row>
      <xdr:rowOff>114300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263525</xdr:colOff>
      <xdr:row>3</xdr:row>
      <xdr:rowOff>16272</xdr:rowOff>
    </xdr:from>
    <xdr:to>
      <xdr:col>9</xdr:col>
      <xdr:colOff>568325</xdr:colOff>
      <xdr:row>17</xdr:row>
      <xdr:rowOff>92472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359738</xdr:colOff>
      <xdr:row>9</xdr:row>
      <xdr:rowOff>69636</xdr:rowOff>
    </xdr:from>
    <xdr:to>
      <xdr:col>7</xdr:col>
      <xdr:colOff>550238</xdr:colOff>
      <xdr:row>9</xdr:row>
      <xdr:rowOff>69636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3407738" y="1735150"/>
          <a:ext cx="1409700" cy="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544797</xdr:colOff>
      <xdr:row>9</xdr:row>
      <xdr:rowOff>67676</xdr:rowOff>
    </xdr:from>
    <xdr:to>
      <xdr:col>7</xdr:col>
      <xdr:colOff>554322</xdr:colOff>
      <xdr:row>10</xdr:row>
      <xdr:rowOff>143876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CxnSpPr/>
      </xdr:nvCxnSpPr>
      <xdr:spPr>
        <a:xfrm rot="16200000" flipH="1">
          <a:off x="4687492" y="1857695"/>
          <a:ext cx="258536" cy="9525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337344</xdr:colOff>
      <xdr:row>19</xdr:row>
      <xdr:rowOff>148828</xdr:rowOff>
    </xdr:from>
    <xdr:to>
      <xdr:col>10</xdr:col>
      <xdr:colOff>69454</xdr:colOff>
      <xdr:row>34</xdr:row>
      <xdr:rowOff>59532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2</xdr:row>
      <xdr:rowOff>0</xdr:rowOff>
    </xdr:from>
    <xdr:to>
      <xdr:col>24</xdr:col>
      <xdr:colOff>304799</xdr:colOff>
      <xdr:row>16</xdr:row>
      <xdr:rowOff>76200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27</xdr:col>
      <xdr:colOff>287735</xdr:colOff>
      <xdr:row>4</xdr:row>
      <xdr:rowOff>39687</xdr:rowOff>
    </xdr:from>
    <xdr:to>
      <xdr:col>35</xdr:col>
      <xdr:colOff>0</xdr:colOff>
      <xdr:row>18</xdr:row>
      <xdr:rowOff>138906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38</xdr:col>
      <xdr:colOff>257970</xdr:colOff>
      <xdr:row>4</xdr:row>
      <xdr:rowOff>79375</xdr:rowOff>
    </xdr:from>
    <xdr:to>
      <xdr:col>45</xdr:col>
      <xdr:colOff>595313</xdr:colOff>
      <xdr:row>18</xdr:row>
      <xdr:rowOff>178594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0.04356</cdr:x>
      <cdr:y>0.3422</cdr:y>
    </cdr:from>
    <cdr:to>
      <cdr:x>0.08256</cdr:x>
      <cdr:y>0.87694</cdr:y>
    </cdr:to>
    <cdr:sp macro="" textlink="">
      <cdr:nvSpPr>
        <cdr:cNvPr id="2" name="Left Brace 1">
          <a:extLst xmlns:a="http://schemas.openxmlformats.org/drawingml/2006/main">
            <a:ext uri="{FF2B5EF4-FFF2-40B4-BE49-F238E27FC236}">
              <a16:creationId xmlns:a16="http://schemas.microsoft.com/office/drawing/2014/main" id="{41BB89E4-69C0-42CF-B787-85EF54215D10}"/>
            </a:ext>
          </a:extLst>
        </cdr:cNvPr>
        <cdr:cNvSpPr/>
      </cdr:nvSpPr>
      <cdr:spPr>
        <a:xfrm xmlns:a="http://schemas.openxmlformats.org/drawingml/2006/main">
          <a:off x="199353" y="898735"/>
          <a:ext cx="178474" cy="1404388"/>
        </a:xfrm>
        <a:prstGeom xmlns:a="http://schemas.openxmlformats.org/drawingml/2006/main" prst="leftBrace">
          <a:avLst>
            <a:gd name="adj1" fmla="val 8333"/>
            <a:gd name="adj2" fmla="val 50691"/>
          </a:avLst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0.54708</cdr:y>
    </cdr:from>
    <cdr:to>
      <cdr:x>0.04859</cdr:x>
      <cdr:y>0.63718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27CE41ED-51E3-4C25-83D0-A4F60828FC24}"/>
            </a:ext>
          </a:extLst>
        </cdr:cNvPr>
        <cdr:cNvSpPr txBox="1"/>
      </cdr:nvSpPr>
      <cdr:spPr>
        <a:xfrm xmlns:a="http://schemas.openxmlformats.org/drawingml/2006/main">
          <a:off x="0" y="1508677"/>
          <a:ext cx="222595" cy="2484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a</a:t>
          </a:r>
        </a:p>
      </cdr:txBody>
    </cdr:sp>
  </cdr:relSizeAnchor>
  <cdr:relSizeAnchor xmlns:cdr="http://schemas.openxmlformats.org/drawingml/2006/chartDrawing">
    <cdr:from>
      <cdr:x>0.72292</cdr:x>
      <cdr:y>0.42733</cdr:y>
    </cdr:from>
    <cdr:to>
      <cdr:x>0.78395</cdr:x>
      <cdr:y>0.51931</cdr:y>
    </cdr:to>
    <cdr:sp macro="" textlink="">
      <cdr:nvSpPr>
        <cdr:cNvPr id="4" name="TextBox 3">
          <a:extLst xmlns:a="http://schemas.openxmlformats.org/drawingml/2006/main">
            <a:ext uri="{FF2B5EF4-FFF2-40B4-BE49-F238E27FC236}">
              <a16:creationId xmlns:a16="http://schemas.microsoft.com/office/drawing/2014/main" id="{E384691A-2880-4990-881F-6433350D031A}"/>
            </a:ext>
          </a:extLst>
        </cdr:cNvPr>
        <cdr:cNvSpPr txBox="1"/>
      </cdr:nvSpPr>
      <cdr:spPr>
        <a:xfrm xmlns:a="http://schemas.openxmlformats.org/drawingml/2006/main">
          <a:off x="3305190" y="1123409"/>
          <a:ext cx="279029" cy="2418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d</a:t>
          </a:r>
        </a:p>
      </cdr:txBody>
    </cdr:sp>
  </cdr:relSizeAnchor>
  <cdr:relSizeAnchor xmlns:cdr="http://schemas.openxmlformats.org/drawingml/2006/chartDrawing">
    <cdr:from>
      <cdr:x>0.54949</cdr:x>
      <cdr:y>0.36161</cdr:y>
    </cdr:from>
    <cdr:to>
      <cdr:x>0.60712</cdr:x>
      <cdr:y>0.45547</cdr:y>
    </cdr:to>
    <cdr:sp macro="" textlink="">
      <cdr:nvSpPr>
        <cdr:cNvPr id="5" name="TextBox 4">
          <a:extLst xmlns:a="http://schemas.openxmlformats.org/drawingml/2006/main">
            <a:ext uri="{FF2B5EF4-FFF2-40B4-BE49-F238E27FC236}">
              <a16:creationId xmlns:a16="http://schemas.microsoft.com/office/drawing/2014/main" id="{906F167D-A570-43D0-8B8F-18B34C0290A4}"/>
            </a:ext>
          </a:extLst>
        </cdr:cNvPr>
        <cdr:cNvSpPr txBox="1"/>
      </cdr:nvSpPr>
      <cdr:spPr>
        <a:xfrm xmlns:a="http://schemas.openxmlformats.org/drawingml/2006/main">
          <a:off x="2512289" y="950640"/>
          <a:ext cx="263485" cy="2467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t</a:t>
          </a:r>
        </a:p>
      </cdr:txBody>
    </cdr:sp>
  </cdr:relSizeAnchor>
  <cdr:relSizeAnchor xmlns:cdr="http://schemas.openxmlformats.org/drawingml/2006/chartDrawing">
    <cdr:from>
      <cdr:x>0.41221</cdr:x>
      <cdr:y>0.43308</cdr:y>
    </cdr:from>
    <cdr:to>
      <cdr:x>0.42219</cdr:x>
      <cdr:y>0.44966</cdr:y>
    </cdr:to>
    <cdr:sp macro="" textlink="">
      <cdr:nvSpPr>
        <cdr:cNvPr id="6" name="Oval 5">
          <a:extLst xmlns:a="http://schemas.openxmlformats.org/drawingml/2006/main">
            <a:ext uri="{FF2B5EF4-FFF2-40B4-BE49-F238E27FC236}">
              <a16:creationId xmlns:a16="http://schemas.microsoft.com/office/drawing/2014/main" id="{EE016867-1804-4540-BD6E-5385F609DE62}"/>
            </a:ext>
          </a:extLst>
        </cdr:cNvPr>
        <cdr:cNvSpPr/>
      </cdr:nvSpPr>
      <cdr:spPr>
        <a:xfrm xmlns:a="http://schemas.openxmlformats.org/drawingml/2006/main">
          <a:off x="1884624" y="1138518"/>
          <a:ext cx="45629" cy="43587"/>
        </a:xfrm>
        <a:prstGeom xmlns:a="http://schemas.openxmlformats.org/drawingml/2006/main" prst="ellipse">
          <a:avLst/>
        </a:prstGeom>
      </cdr:spPr>
      <cdr:style>
        <a:lnRef xmlns:a="http://schemas.openxmlformats.org/drawingml/2006/main" idx="2">
          <a:schemeClr val="dk1">
            <a:shade val="50000"/>
          </a:schemeClr>
        </a:lnRef>
        <a:fillRef xmlns:a="http://schemas.openxmlformats.org/drawingml/2006/main" idx="1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0.72352</cdr:x>
      <cdr:y>0.53153</cdr:y>
    </cdr:from>
    <cdr:to>
      <cdr:x>0.7335</cdr:x>
      <cdr:y>0.54811</cdr:y>
    </cdr:to>
    <cdr:sp macro="" textlink="">
      <cdr:nvSpPr>
        <cdr:cNvPr id="7" name="Oval 6">
          <a:extLst xmlns:a="http://schemas.openxmlformats.org/drawingml/2006/main">
            <a:ext uri="{FF2B5EF4-FFF2-40B4-BE49-F238E27FC236}">
              <a16:creationId xmlns:a16="http://schemas.microsoft.com/office/drawing/2014/main" id="{09A66EEA-CF8A-4EB6-9071-1DA09E75FAD2}"/>
            </a:ext>
          </a:extLst>
        </cdr:cNvPr>
        <cdr:cNvSpPr/>
      </cdr:nvSpPr>
      <cdr:spPr>
        <a:xfrm xmlns:a="http://schemas.openxmlformats.org/drawingml/2006/main">
          <a:off x="3307956" y="1397346"/>
          <a:ext cx="45628" cy="43588"/>
        </a:xfrm>
        <a:prstGeom xmlns:a="http://schemas.openxmlformats.org/drawingml/2006/main" prst="ellipse">
          <a:avLst/>
        </a:prstGeom>
      </cdr:spPr>
      <cdr:style>
        <a:lnRef xmlns:a="http://schemas.openxmlformats.org/drawingml/2006/main" idx="2">
          <a:schemeClr val="dk1">
            <a:shade val="50000"/>
          </a:schemeClr>
        </a:lnRef>
        <a:fillRef xmlns:a="http://schemas.openxmlformats.org/drawingml/2006/main" idx="1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99060</xdr:colOff>
      <xdr:row>0</xdr:row>
      <xdr:rowOff>114300</xdr:rowOff>
    </xdr:from>
    <xdr:to>
      <xdr:col>20</xdr:col>
      <xdr:colOff>403860</xdr:colOff>
      <xdr:row>15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C429693-A3F1-428D-BD45-9F8C6B470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129540</xdr:colOff>
      <xdr:row>16</xdr:row>
      <xdr:rowOff>68580</xdr:rowOff>
    </xdr:from>
    <xdr:to>
      <xdr:col>20</xdr:col>
      <xdr:colOff>434340</xdr:colOff>
      <xdr:row>31</xdr:row>
      <xdr:rowOff>68580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A3E36B5-3040-4024-9573-E44791B9DA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12</xdr:col>
      <xdr:colOff>0</xdr:colOff>
      <xdr:row>24</xdr:row>
      <xdr:rowOff>45720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C4AED082-DA00-4E33-934F-2F79F5EBE894}"/>
            </a:ext>
          </a:extLst>
        </xdr:cNvPr>
        <xdr:cNvSpPr txBox="1"/>
      </xdr:nvSpPr>
      <xdr:spPr>
        <a:xfrm>
          <a:off x="4541520" y="548640"/>
          <a:ext cx="1828800" cy="3886200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2000"/>
            <a:t>NOTE: You must right-click on the Trendline equation and select the scientific notation for the number in Format Trendline Label!!!!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33</xdr:row>
      <xdr:rowOff>95250</xdr:rowOff>
    </xdr:from>
    <xdr:to>
      <xdr:col>6</xdr:col>
      <xdr:colOff>0</xdr:colOff>
      <xdr:row>33</xdr:row>
      <xdr:rowOff>95250</xdr:rowOff>
    </xdr:to>
    <xdr:sp macro="" textlink="">
      <xdr:nvSpPr>
        <xdr:cNvPr id="3" name="Line 5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ShapeType="1"/>
        </xdr:cNvSpPr>
      </xdr:nvSpPr>
      <xdr:spPr bwMode="auto">
        <a:xfrm flipH="1">
          <a:off x="3038475" y="5524500"/>
          <a:ext cx="14763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</xdr:col>
      <xdr:colOff>819150</xdr:colOff>
      <xdr:row>27</xdr:row>
      <xdr:rowOff>104775</xdr:rowOff>
    </xdr:from>
    <xdr:to>
      <xdr:col>6</xdr:col>
      <xdr:colOff>19050</xdr:colOff>
      <xdr:row>33</xdr:row>
      <xdr:rowOff>104775</xdr:rowOff>
    </xdr:to>
    <xdr:sp macro="" textlink="">
      <xdr:nvSpPr>
        <xdr:cNvPr id="4" name="Line 6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1657350" y="4505325"/>
          <a:ext cx="2876550" cy="1028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6</xdr:col>
      <xdr:colOff>581025</xdr:colOff>
      <xdr:row>29</xdr:row>
      <xdr:rowOff>123825</xdr:rowOff>
    </xdr:from>
    <xdr:to>
      <xdr:col>8</xdr:col>
      <xdr:colOff>66675</xdr:colOff>
      <xdr:row>33</xdr:row>
      <xdr:rowOff>114300</xdr:rowOff>
    </xdr:to>
    <xdr:sp macro="" textlink="">
      <xdr:nvSpPr>
        <xdr:cNvPr id="5" name="Line 7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>
          <a:spLocks noChangeShapeType="1"/>
        </xdr:cNvSpPr>
      </xdr:nvSpPr>
      <xdr:spPr bwMode="auto">
        <a:xfrm flipV="1">
          <a:off x="5095875" y="4857750"/>
          <a:ext cx="704850" cy="685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590550</xdr:colOff>
      <xdr:row>1</xdr:row>
      <xdr:rowOff>114300</xdr:rowOff>
    </xdr:from>
    <xdr:to>
      <xdr:col>17</xdr:col>
      <xdr:colOff>285750</xdr:colOff>
      <xdr:row>16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200025</xdr:colOff>
      <xdr:row>19</xdr:row>
      <xdr:rowOff>28575</xdr:rowOff>
    </xdr:from>
    <xdr:to>
      <xdr:col>19</xdr:col>
      <xdr:colOff>504825</xdr:colOff>
      <xdr:row>33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251460</xdr:colOff>
      <xdr:row>0</xdr:row>
      <xdr:rowOff>175260</xdr:rowOff>
    </xdr:from>
    <xdr:to>
      <xdr:col>15</xdr:col>
      <xdr:colOff>251460</xdr:colOff>
      <xdr:row>10</xdr:row>
      <xdr:rowOff>175260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251460</xdr:colOff>
      <xdr:row>2</xdr:row>
      <xdr:rowOff>175260</xdr:rowOff>
    </xdr:from>
    <xdr:to>
      <xdr:col>16</xdr:col>
      <xdr:colOff>251460</xdr:colOff>
      <xdr:row>12</xdr:row>
      <xdr:rowOff>175260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251460</xdr:colOff>
      <xdr:row>4</xdr:row>
      <xdr:rowOff>175260</xdr:rowOff>
    </xdr:from>
    <xdr:to>
      <xdr:col>17</xdr:col>
      <xdr:colOff>251460</xdr:colOff>
      <xdr:row>14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419100</xdr:colOff>
      <xdr:row>0</xdr:row>
      <xdr:rowOff>142875</xdr:rowOff>
    </xdr:from>
    <xdr:to>
      <xdr:col>15</xdr:col>
      <xdr:colOff>114300</xdr:colOff>
      <xdr:row>15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zoomScale="98" zoomScaleNormal="98" workbookViewId="0">
      <selection activeCell="R32" sqref="R32"/>
    </sheetView>
  </sheetViews>
  <sheetFormatPr defaultRowHeight="14.4" x14ac:dyDescent="0.3"/>
  <sheetData>
    <row r="1" spans="1:5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5" x14ac:dyDescent="0.3">
      <c r="A2" s="2">
        <v>1</v>
      </c>
      <c r="B2" s="2">
        <f t="shared" ref="B2:B16" si="0">D2+C2</f>
        <v>3</v>
      </c>
      <c r="C2" s="2">
        <v>1</v>
      </c>
      <c r="D2" s="2">
        <v>2</v>
      </c>
      <c r="E2">
        <f t="shared" ref="E2:E16" ca="1" si="1">RANDBETWEEN(1,3)</f>
        <v>2</v>
      </c>
    </row>
    <row r="3" spans="1:5" x14ac:dyDescent="0.3">
      <c r="A3" s="2">
        <v>2</v>
      </c>
      <c r="B3" s="2">
        <f t="shared" si="0"/>
        <v>6</v>
      </c>
      <c r="C3" s="2">
        <v>3</v>
      </c>
      <c r="D3" s="2">
        <v>3</v>
      </c>
      <c r="E3">
        <f t="shared" ca="1" si="1"/>
        <v>2</v>
      </c>
    </row>
    <row r="4" spans="1:5" x14ac:dyDescent="0.3">
      <c r="A4" s="2">
        <v>3</v>
      </c>
      <c r="B4" s="2">
        <f t="shared" si="0"/>
        <v>8</v>
      </c>
      <c r="C4" s="2">
        <v>5</v>
      </c>
      <c r="D4" s="2">
        <v>3</v>
      </c>
      <c r="E4">
        <f t="shared" ca="1" si="1"/>
        <v>3</v>
      </c>
    </row>
    <row r="5" spans="1:5" x14ac:dyDescent="0.3">
      <c r="A5" s="2">
        <v>4</v>
      </c>
      <c r="B5" s="2">
        <f t="shared" si="0"/>
        <v>5</v>
      </c>
      <c r="C5" s="2">
        <v>3</v>
      </c>
      <c r="D5" s="2">
        <v>2</v>
      </c>
      <c r="E5">
        <f t="shared" ca="1" si="1"/>
        <v>2</v>
      </c>
    </row>
    <row r="6" spans="1:5" x14ac:dyDescent="0.3">
      <c r="A6" s="2">
        <v>5</v>
      </c>
      <c r="B6" s="2">
        <f t="shared" si="0"/>
        <v>4</v>
      </c>
      <c r="C6" s="2">
        <v>1</v>
      </c>
      <c r="D6" s="2">
        <v>3</v>
      </c>
      <c r="E6">
        <f t="shared" ca="1" si="1"/>
        <v>3</v>
      </c>
    </row>
    <row r="7" spans="1:5" x14ac:dyDescent="0.3">
      <c r="A7" s="2">
        <v>6</v>
      </c>
      <c r="B7" s="2">
        <f t="shared" si="0"/>
        <v>5</v>
      </c>
      <c r="C7" s="2">
        <v>3</v>
      </c>
      <c r="D7" s="2">
        <v>2</v>
      </c>
      <c r="E7">
        <f t="shared" ca="1" si="1"/>
        <v>1</v>
      </c>
    </row>
    <row r="8" spans="1:5" x14ac:dyDescent="0.3">
      <c r="A8" s="2">
        <v>7</v>
      </c>
      <c r="B8" s="2">
        <f t="shared" si="0"/>
        <v>7</v>
      </c>
      <c r="C8" s="2">
        <v>5</v>
      </c>
      <c r="D8" s="2">
        <v>2</v>
      </c>
      <c r="E8">
        <f t="shared" ca="1" si="1"/>
        <v>1</v>
      </c>
    </row>
    <row r="9" spans="1:5" x14ac:dyDescent="0.3">
      <c r="A9" s="2">
        <v>8</v>
      </c>
      <c r="B9" s="2">
        <f t="shared" si="0"/>
        <v>5</v>
      </c>
      <c r="C9" s="2">
        <v>3</v>
      </c>
      <c r="D9" s="2">
        <v>2</v>
      </c>
      <c r="E9">
        <f t="shared" ca="1" si="1"/>
        <v>2</v>
      </c>
    </row>
    <row r="10" spans="1:5" x14ac:dyDescent="0.3">
      <c r="A10" s="2">
        <v>9</v>
      </c>
      <c r="B10" s="2">
        <f t="shared" si="0"/>
        <v>2</v>
      </c>
      <c r="C10" s="2">
        <v>1</v>
      </c>
      <c r="D10" s="2">
        <v>1</v>
      </c>
      <c r="E10">
        <f t="shared" ca="1" si="1"/>
        <v>3</v>
      </c>
    </row>
    <row r="11" spans="1:5" x14ac:dyDescent="0.3">
      <c r="A11" s="2">
        <v>10</v>
      </c>
      <c r="B11" s="2">
        <f t="shared" si="0"/>
        <v>4</v>
      </c>
      <c r="C11" s="2">
        <v>3</v>
      </c>
      <c r="D11" s="2">
        <v>1</v>
      </c>
      <c r="E11">
        <f t="shared" ca="1" si="1"/>
        <v>2</v>
      </c>
    </row>
    <row r="12" spans="1:5" x14ac:dyDescent="0.3">
      <c r="A12" s="2">
        <v>11</v>
      </c>
      <c r="B12" s="2">
        <f t="shared" si="0"/>
        <v>8</v>
      </c>
      <c r="C12" s="2">
        <v>5</v>
      </c>
      <c r="D12" s="2">
        <v>3</v>
      </c>
      <c r="E12">
        <f t="shared" ca="1" si="1"/>
        <v>1</v>
      </c>
    </row>
    <row r="13" spans="1:5" x14ac:dyDescent="0.3">
      <c r="A13" s="2">
        <v>12</v>
      </c>
      <c r="B13" s="2">
        <f t="shared" si="0"/>
        <v>6</v>
      </c>
      <c r="C13" s="2">
        <v>3</v>
      </c>
      <c r="D13" s="2">
        <v>3</v>
      </c>
      <c r="E13">
        <f t="shared" ca="1" si="1"/>
        <v>2</v>
      </c>
    </row>
    <row r="14" spans="1:5" x14ac:dyDescent="0.3">
      <c r="A14" s="2">
        <v>13</v>
      </c>
      <c r="B14" s="2">
        <f t="shared" si="0"/>
        <v>2</v>
      </c>
      <c r="C14" s="2">
        <v>1</v>
      </c>
      <c r="D14" s="2">
        <v>1</v>
      </c>
      <c r="E14">
        <f t="shared" ca="1" si="1"/>
        <v>1</v>
      </c>
    </row>
    <row r="15" spans="1:5" x14ac:dyDescent="0.3">
      <c r="A15" s="2">
        <v>14</v>
      </c>
      <c r="B15" s="2">
        <f t="shared" si="0"/>
        <v>6</v>
      </c>
      <c r="C15" s="2">
        <v>3</v>
      </c>
      <c r="D15" s="2">
        <v>3</v>
      </c>
      <c r="E15">
        <f t="shared" ca="1" si="1"/>
        <v>2</v>
      </c>
    </row>
    <row r="16" spans="1:5" x14ac:dyDescent="0.3">
      <c r="A16" s="2">
        <v>15</v>
      </c>
      <c r="B16" s="2">
        <f t="shared" si="0"/>
        <v>7</v>
      </c>
      <c r="C16" s="2">
        <v>5</v>
      </c>
      <c r="D16" s="2">
        <v>2</v>
      </c>
      <c r="E16">
        <f t="shared" ca="1" si="1"/>
        <v>1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T25" sqref="T25"/>
    </sheetView>
  </sheetViews>
  <sheetFormatPr defaultRowHeight="14.4" x14ac:dyDescent="0.3"/>
  <cols>
    <col min="5" max="5" width="13.88671875" customWidth="1"/>
    <col min="7" max="7" width="10.88671875" customWidth="1"/>
    <col min="9" max="9" width="9.21875" customWidth="1"/>
    <col min="10" max="10" width="15.21875" customWidth="1"/>
    <col min="11" max="11" width="14.33203125" customWidth="1"/>
    <col min="12" max="12" width="13.5546875" customWidth="1"/>
  </cols>
  <sheetData>
    <row r="1" spans="1:13" x14ac:dyDescent="0.3">
      <c r="A1" s="20"/>
      <c r="B1" s="21"/>
      <c r="C1" s="22" t="s">
        <v>138</v>
      </c>
      <c r="D1">
        <f>SLOPE(B3:B12,A3:A12)</f>
        <v>0.93939393939393945</v>
      </c>
      <c r="E1">
        <f>INTERCEPT(B3:B12,A3:A12)</f>
        <v>0.53333333333333321</v>
      </c>
      <c r="H1" t="s">
        <v>139</v>
      </c>
      <c r="I1" s="69">
        <f>NORMSINV(1-K1/2)</f>
        <v>1.9599639845400536</v>
      </c>
      <c r="J1" s="6" t="s">
        <v>87</v>
      </c>
      <c r="K1">
        <v>0.05</v>
      </c>
      <c r="L1">
        <f>100*(1-K1)</f>
        <v>95</v>
      </c>
      <c r="M1" s="5" t="s">
        <v>140</v>
      </c>
    </row>
    <row r="2" spans="1:13" ht="16.2" x14ac:dyDescent="0.3">
      <c r="A2" s="25" t="s">
        <v>89</v>
      </c>
      <c r="B2" s="25" t="s">
        <v>42</v>
      </c>
      <c r="C2" s="25" t="s">
        <v>120</v>
      </c>
      <c r="D2" s="70" t="s">
        <v>135</v>
      </c>
      <c r="E2" s="70" t="s">
        <v>136</v>
      </c>
      <c r="F2" s="70" t="s">
        <v>137</v>
      </c>
      <c r="G2" s="67"/>
      <c r="H2" s="31" t="s">
        <v>144</v>
      </c>
      <c r="I2" s="31" t="s">
        <v>145</v>
      </c>
      <c r="J2" s="31" t="s">
        <v>141</v>
      </c>
      <c r="K2" s="31" t="s">
        <v>142</v>
      </c>
      <c r="L2" s="31" t="s">
        <v>143</v>
      </c>
    </row>
    <row r="3" spans="1:13" x14ac:dyDescent="0.3">
      <c r="A3" s="27">
        <v>1</v>
      </c>
      <c r="B3" s="27">
        <v>2</v>
      </c>
      <c r="C3" s="17">
        <f>TREND($B$3:$B$12,$A$3:$A$12,A3)</f>
        <v>1.472727272727272</v>
      </c>
      <c r="D3" s="68">
        <f>(B3-$B$19)^2</f>
        <v>13.690000000000001</v>
      </c>
      <c r="E3" s="68">
        <f>(C3-$B$19)^2</f>
        <v>17.86983471074381</v>
      </c>
      <c r="F3" s="68">
        <f>(B3-C3)^2</f>
        <v>0.27801652892562062</v>
      </c>
      <c r="G3" s="68"/>
      <c r="H3" s="68">
        <f t="shared" ref="H3:H17" si="0">(A3-$A$19)^2</f>
        <v>20.25</v>
      </c>
      <c r="I3" s="68">
        <f t="shared" ref="I3:I17" si="1">H3/$H$19</f>
        <v>5.4180602006688963E-2</v>
      </c>
      <c r="J3" s="68">
        <f>1+1/(COUNT($B$3:$B$12))+I3</f>
        <v>1.1541806020066891</v>
      </c>
      <c r="K3" s="71">
        <f t="shared" ref="K3:K17" si="2">C3+$I$1*$G$19*SQRT(J3)</f>
        <v>8.2671816079904126</v>
      </c>
      <c r="L3" s="71">
        <f t="shared" ref="L3:L17" si="3">C3-$I$1*$G$19*SQRT(J3)</f>
        <v>-5.321727062535869</v>
      </c>
    </row>
    <row r="4" spans="1:13" x14ac:dyDescent="0.3">
      <c r="A4" s="27">
        <v>2</v>
      </c>
      <c r="B4" s="27">
        <v>1</v>
      </c>
      <c r="C4" s="17">
        <f t="shared" ref="C4:C17" si="4">TREND($B$3:$B$12,$A$3:$A$12,A4)</f>
        <v>2.4121212121212117</v>
      </c>
      <c r="D4" s="68">
        <f t="shared" ref="D4:D12" si="5">(B4-$B$19)^2</f>
        <v>22.090000000000003</v>
      </c>
      <c r="E4" s="68">
        <f t="shared" ref="E4:E12" si="6">(C4-$B$19)^2</f>
        <v>10.810146923783291</v>
      </c>
      <c r="F4" s="68">
        <f t="shared" ref="F4:F12" si="7">(B4-C4)^2</f>
        <v>1.99408631772268</v>
      </c>
      <c r="G4" s="68"/>
      <c r="H4" s="68">
        <f t="shared" si="0"/>
        <v>12.25</v>
      </c>
      <c r="I4" s="68">
        <f t="shared" si="1"/>
        <v>3.2775919732441469E-2</v>
      </c>
      <c r="J4" s="68">
        <f t="shared" ref="J4:J17" si="8">1+1/(COUNT($B$3:$B$12))+I4</f>
        <v>1.1327759197324416</v>
      </c>
      <c r="K4" s="68">
        <f t="shared" si="2"/>
        <v>9.1432779408968781</v>
      </c>
      <c r="L4" s="71">
        <f t="shared" si="3"/>
        <v>-4.3190355166544538</v>
      </c>
    </row>
    <row r="5" spans="1:13" x14ac:dyDescent="0.3">
      <c r="A5" s="27">
        <v>3</v>
      </c>
      <c r="B5" s="27">
        <v>1</v>
      </c>
      <c r="C5" s="17">
        <f t="shared" si="4"/>
        <v>3.3515151515151516</v>
      </c>
      <c r="D5" s="68">
        <f t="shared" si="5"/>
        <v>22.090000000000003</v>
      </c>
      <c r="E5" s="68">
        <f t="shared" si="6"/>
        <v>5.515381083562902</v>
      </c>
      <c r="F5" s="68">
        <f t="shared" si="7"/>
        <v>5.5296235078053266</v>
      </c>
      <c r="G5" s="68"/>
      <c r="H5" s="68">
        <f t="shared" si="0"/>
        <v>6.25</v>
      </c>
      <c r="I5" s="68">
        <f t="shared" si="1"/>
        <v>1.6722408026755852E-2</v>
      </c>
      <c r="J5" s="68">
        <f t="shared" si="8"/>
        <v>1.1167224080267559</v>
      </c>
      <c r="K5" s="68">
        <f t="shared" si="2"/>
        <v>10.034805269590702</v>
      </c>
      <c r="L5" s="71">
        <f t="shared" si="3"/>
        <v>-3.3317749665604</v>
      </c>
    </row>
    <row r="6" spans="1:13" x14ac:dyDescent="0.3">
      <c r="A6" s="27">
        <v>4</v>
      </c>
      <c r="B6" s="27">
        <v>4</v>
      </c>
      <c r="C6" s="17">
        <f t="shared" si="4"/>
        <v>4.290909090909091</v>
      </c>
      <c r="D6" s="68">
        <f t="shared" si="5"/>
        <v>2.8900000000000006</v>
      </c>
      <c r="E6" s="68">
        <f t="shared" si="6"/>
        <v>1.9855371900826448</v>
      </c>
      <c r="F6" s="68">
        <f t="shared" si="7"/>
        <v>8.4628099173553781E-2</v>
      </c>
      <c r="G6" s="68"/>
      <c r="H6" s="68">
        <f t="shared" si="0"/>
        <v>2.25</v>
      </c>
      <c r="I6" s="68">
        <f t="shared" si="1"/>
        <v>6.0200668896321068E-3</v>
      </c>
      <c r="J6" s="68">
        <f t="shared" si="8"/>
        <v>1.1060200668896323</v>
      </c>
      <c r="K6" s="68">
        <f t="shared" si="2"/>
        <v>10.942096759216852</v>
      </c>
      <c r="L6" s="71">
        <f t="shared" si="3"/>
        <v>-2.3602785773986712</v>
      </c>
    </row>
    <row r="7" spans="1:13" x14ac:dyDescent="0.3">
      <c r="A7" s="27">
        <v>5</v>
      </c>
      <c r="B7" s="27">
        <v>13</v>
      </c>
      <c r="C7" s="17">
        <f t="shared" si="4"/>
        <v>5.2303030303030305</v>
      </c>
      <c r="D7" s="68">
        <f t="shared" si="5"/>
        <v>53.29</v>
      </c>
      <c r="E7" s="68">
        <f t="shared" si="6"/>
        <v>0.22061524334251609</v>
      </c>
      <c r="F7" s="68">
        <f t="shared" si="7"/>
        <v>60.368191000918273</v>
      </c>
      <c r="G7" s="68"/>
      <c r="H7" s="68">
        <f t="shared" si="0"/>
        <v>0.25</v>
      </c>
      <c r="I7" s="68">
        <f t="shared" si="1"/>
        <v>6.6889632107023408E-4</v>
      </c>
      <c r="J7" s="68">
        <f t="shared" si="8"/>
        <v>1.1006688963210702</v>
      </c>
      <c r="K7" s="68">
        <f t="shared" si="2"/>
        <v>11.865381228590575</v>
      </c>
      <c r="L7" s="71">
        <f t="shared" si="3"/>
        <v>-1.4047751679845142</v>
      </c>
    </row>
    <row r="8" spans="1:13" x14ac:dyDescent="0.3">
      <c r="A8" s="27">
        <v>6</v>
      </c>
      <c r="B8" s="27">
        <v>3</v>
      </c>
      <c r="C8" s="17">
        <f t="shared" si="4"/>
        <v>6.1696969696969708</v>
      </c>
      <c r="D8" s="68">
        <f t="shared" si="5"/>
        <v>7.2900000000000009</v>
      </c>
      <c r="E8" s="68">
        <f t="shared" si="6"/>
        <v>0.22061524334251692</v>
      </c>
      <c r="F8" s="68">
        <f t="shared" si="7"/>
        <v>10.04697887970616</v>
      </c>
      <c r="G8" s="68"/>
      <c r="H8" s="68">
        <f t="shared" si="0"/>
        <v>0.25</v>
      </c>
      <c r="I8" s="68">
        <f t="shared" si="1"/>
        <v>6.6889632107023408E-4</v>
      </c>
      <c r="J8" s="68">
        <f t="shared" si="8"/>
        <v>1.1006688963210702</v>
      </c>
      <c r="K8" s="68">
        <f t="shared" si="2"/>
        <v>12.804775167984516</v>
      </c>
      <c r="L8" s="71">
        <f t="shared" si="3"/>
        <v>-0.46538122859057385</v>
      </c>
    </row>
    <row r="9" spans="1:13" x14ac:dyDescent="0.3">
      <c r="A9" s="27">
        <v>7</v>
      </c>
      <c r="B9" s="27">
        <v>8</v>
      </c>
      <c r="C9" s="17">
        <f t="shared" si="4"/>
        <v>7.1090909090909102</v>
      </c>
      <c r="D9" s="68">
        <f t="shared" si="5"/>
        <v>5.2899999999999991</v>
      </c>
      <c r="E9" s="68">
        <f t="shared" si="6"/>
        <v>1.9855371900826473</v>
      </c>
      <c r="F9" s="68">
        <f t="shared" si="7"/>
        <v>0.79371900826446073</v>
      </c>
      <c r="G9" s="68"/>
      <c r="H9" s="68">
        <f t="shared" si="0"/>
        <v>2.25</v>
      </c>
      <c r="I9" s="68">
        <f t="shared" si="1"/>
        <v>6.0200668896321068E-3</v>
      </c>
      <c r="J9" s="68">
        <f t="shared" si="8"/>
        <v>1.1060200668896323</v>
      </c>
      <c r="K9" s="68">
        <f t="shared" si="2"/>
        <v>13.760278577398672</v>
      </c>
      <c r="L9" s="71">
        <f t="shared" si="3"/>
        <v>0.45790324078314804</v>
      </c>
    </row>
    <row r="10" spans="1:13" x14ac:dyDescent="0.3">
      <c r="A10" s="27">
        <v>8</v>
      </c>
      <c r="B10" s="27">
        <v>6</v>
      </c>
      <c r="C10" s="17">
        <f t="shared" si="4"/>
        <v>8.0484848484848506</v>
      </c>
      <c r="D10" s="68">
        <f t="shared" si="5"/>
        <v>8.99999999999999E-2</v>
      </c>
      <c r="E10" s="68">
        <f t="shared" si="6"/>
        <v>5.5153810835629109</v>
      </c>
      <c r="F10" s="68">
        <f t="shared" si="7"/>
        <v>4.1962901744720016</v>
      </c>
      <c r="G10" s="68"/>
      <c r="H10" s="68">
        <f t="shared" si="0"/>
        <v>6.25</v>
      </c>
      <c r="I10" s="68">
        <f t="shared" si="1"/>
        <v>1.6722408026755852E-2</v>
      </c>
      <c r="J10" s="68">
        <f t="shared" si="8"/>
        <v>1.1167224080267559</v>
      </c>
      <c r="K10" s="68">
        <f t="shared" si="2"/>
        <v>14.731774966560401</v>
      </c>
      <c r="L10" s="71">
        <f t="shared" si="3"/>
        <v>1.3651947304092991</v>
      </c>
    </row>
    <row r="11" spans="1:13" x14ac:dyDescent="0.3">
      <c r="A11" s="27">
        <v>9</v>
      </c>
      <c r="B11" s="27">
        <v>9</v>
      </c>
      <c r="C11" s="17">
        <f t="shared" si="4"/>
        <v>8.9878787878787882</v>
      </c>
      <c r="D11" s="68">
        <f t="shared" si="5"/>
        <v>10.889999999999999</v>
      </c>
      <c r="E11" s="68">
        <f t="shared" si="6"/>
        <v>10.810146923783289</v>
      </c>
      <c r="F11" s="68">
        <f t="shared" si="7"/>
        <v>1.4692378328741077E-4</v>
      </c>
      <c r="G11" s="68"/>
      <c r="H11" s="68">
        <f t="shared" si="0"/>
        <v>12.25</v>
      </c>
      <c r="I11" s="68">
        <f t="shared" si="1"/>
        <v>3.2775919732441469E-2</v>
      </c>
      <c r="J11" s="68">
        <f t="shared" si="8"/>
        <v>1.1327759197324416</v>
      </c>
      <c r="K11" s="68">
        <f t="shared" si="2"/>
        <v>15.719035516654454</v>
      </c>
      <c r="L11" s="71">
        <f t="shared" si="3"/>
        <v>2.2567220591031223</v>
      </c>
    </row>
    <row r="12" spans="1:13" x14ac:dyDescent="0.3">
      <c r="A12" s="27">
        <v>10</v>
      </c>
      <c r="B12" s="27">
        <v>10</v>
      </c>
      <c r="C12" s="17">
        <f t="shared" si="4"/>
        <v>9.9272727272727295</v>
      </c>
      <c r="D12" s="68">
        <f t="shared" si="5"/>
        <v>18.489999999999998</v>
      </c>
      <c r="E12" s="68">
        <f t="shared" si="6"/>
        <v>17.86983471074382</v>
      </c>
      <c r="F12" s="68">
        <f t="shared" si="7"/>
        <v>5.2892561983467878E-3</v>
      </c>
      <c r="G12" s="68"/>
      <c r="H12" s="68">
        <f t="shared" si="0"/>
        <v>20.25</v>
      </c>
      <c r="I12" s="68">
        <f t="shared" si="1"/>
        <v>5.4180602006688963E-2</v>
      </c>
      <c r="J12" s="68">
        <f t="shared" si="8"/>
        <v>1.1541806020066891</v>
      </c>
      <c r="K12" s="68">
        <f t="shared" si="2"/>
        <v>16.721727062535869</v>
      </c>
      <c r="L12" s="71">
        <f t="shared" si="3"/>
        <v>3.1328183920095887</v>
      </c>
    </row>
    <row r="13" spans="1:13" x14ac:dyDescent="0.3">
      <c r="A13" s="27">
        <v>11</v>
      </c>
      <c r="C13" s="17">
        <f t="shared" si="4"/>
        <v>10.866666666666667</v>
      </c>
      <c r="D13" s="17"/>
      <c r="E13" s="17"/>
      <c r="F13" s="17"/>
      <c r="G13" s="17"/>
      <c r="H13" s="68">
        <f t="shared" si="0"/>
        <v>30.25</v>
      </c>
      <c r="I13" s="68">
        <f t="shared" si="1"/>
        <v>8.0936454849498324E-2</v>
      </c>
      <c r="J13" s="68">
        <f t="shared" si="8"/>
        <v>1.1809364548494985</v>
      </c>
      <c r="K13" s="68">
        <f t="shared" si="2"/>
        <v>17.739423262259791</v>
      </c>
      <c r="L13" s="71">
        <f t="shared" si="3"/>
        <v>3.9939100710735431</v>
      </c>
    </row>
    <row r="14" spans="1:13" x14ac:dyDescent="0.3">
      <c r="A14" s="27">
        <v>12</v>
      </c>
      <c r="C14" s="17">
        <f t="shared" si="4"/>
        <v>11.806060606060608</v>
      </c>
      <c r="D14" s="17"/>
      <c r="E14" s="17"/>
      <c r="F14" s="17"/>
      <c r="G14" s="17"/>
      <c r="H14" s="68">
        <f t="shared" si="0"/>
        <v>42.25</v>
      </c>
      <c r="I14" s="68">
        <f t="shared" si="1"/>
        <v>0.11304347826086956</v>
      </c>
      <c r="J14" s="68">
        <f t="shared" si="8"/>
        <v>1.2130434782608697</v>
      </c>
      <c r="K14" s="68">
        <f t="shared" si="2"/>
        <v>18.771618116570444</v>
      </c>
      <c r="L14" s="71">
        <f t="shared" si="3"/>
        <v>4.8405030955507709</v>
      </c>
    </row>
    <row r="15" spans="1:13" x14ac:dyDescent="0.3">
      <c r="A15" s="27">
        <v>13</v>
      </c>
      <c r="C15" s="17">
        <f t="shared" si="4"/>
        <v>12.74545454545455</v>
      </c>
      <c r="D15" s="17"/>
      <c r="E15" s="17"/>
      <c r="F15" s="17"/>
      <c r="G15" s="17"/>
      <c r="H15" s="68">
        <f t="shared" si="0"/>
        <v>56.25</v>
      </c>
      <c r="I15" s="68">
        <f t="shared" si="1"/>
        <v>0.15050167224080269</v>
      </c>
      <c r="J15" s="68">
        <f t="shared" si="8"/>
        <v>1.2505016722408029</v>
      </c>
      <c r="K15" s="68">
        <f t="shared" si="2"/>
        <v>19.817740904463903</v>
      </c>
      <c r="L15" s="71">
        <f t="shared" si="3"/>
        <v>5.6731681864451948</v>
      </c>
    </row>
    <row r="16" spans="1:13" x14ac:dyDescent="0.3">
      <c r="A16" s="27">
        <v>14</v>
      </c>
      <c r="C16" s="17">
        <f t="shared" si="4"/>
        <v>13.684848484848487</v>
      </c>
      <c r="D16" s="17"/>
      <c r="E16" s="17"/>
      <c r="F16" s="17"/>
      <c r="G16" s="17"/>
      <c r="H16" s="68">
        <f t="shared" si="0"/>
        <v>72.25</v>
      </c>
      <c r="I16" s="68">
        <f t="shared" si="1"/>
        <v>0.19331103678929765</v>
      </c>
      <c r="J16" s="68">
        <f t="shared" si="8"/>
        <v>1.2933110367892977</v>
      </c>
      <c r="K16" s="68">
        <f t="shared" si="2"/>
        <v>20.877171611425748</v>
      </c>
      <c r="L16" s="71">
        <f t="shared" si="3"/>
        <v>6.4925253582712266</v>
      </c>
    </row>
    <row r="17" spans="1:12" x14ac:dyDescent="0.3">
      <c r="A17" s="27">
        <v>15</v>
      </c>
      <c r="C17" s="17">
        <f t="shared" si="4"/>
        <v>14.624242424242428</v>
      </c>
      <c r="D17" s="17"/>
      <c r="E17" s="17"/>
      <c r="F17" s="17"/>
      <c r="G17" s="17"/>
      <c r="H17" s="68">
        <f t="shared" si="0"/>
        <v>90.25</v>
      </c>
      <c r="I17" s="68">
        <f t="shared" si="1"/>
        <v>0.24147157190635452</v>
      </c>
      <c r="J17" s="68">
        <f t="shared" si="8"/>
        <v>1.3414715719063546</v>
      </c>
      <c r="K17" s="68">
        <f t="shared" si="2"/>
        <v>21.949256026415803</v>
      </c>
      <c r="L17" s="71">
        <f t="shared" si="3"/>
        <v>7.2992288220690549</v>
      </c>
    </row>
    <row r="19" spans="1:12" x14ac:dyDescent="0.3">
      <c r="A19" s="29">
        <f>AVERAGE(A3:A12)</f>
        <v>5.5</v>
      </c>
      <c r="B19" s="29">
        <f>AVERAGE(B3:B12)</f>
        <v>5.7</v>
      </c>
      <c r="D19" s="72">
        <f>SUM(D3:D12)</f>
        <v>156.10000000000002</v>
      </c>
      <c r="E19" s="72">
        <f t="shared" ref="E19:F19" si="9">SUM(E3:E12)</f>
        <v>72.80303030303034</v>
      </c>
      <c r="F19" s="72">
        <f t="shared" si="9"/>
        <v>83.296969696969711</v>
      </c>
      <c r="G19" s="73">
        <f>STEYX(B3:B12,A3:A12)</f>
        <v>3.2267818662130257</v>
      </c>
      <c r="H19" s="72">
        <f>SUM(H3:H17)</f>
        <v>373.75</v>
      </c>
    </row>
    <row r="20" spans="1:12" x14ac:dyDescent="0.3">
      <c r="G20" s="5" t="s">
        <v>95</v>
      </c>
    </row>
    <row r="21" spans="1:12" x14ac:dyDescent="0.3">
      <c r="G21" s="68">
        <f>SQRT(F19/8)</f>
        <v>3.2267818662130252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workbookViewId="0">
      <selection activeCell="O27" sqref="O27"/>
    </sheetView>
  </sheetViews>
  <sheetFormatPr defaultRowHeight="14.4" x14ac:dyDescent="0.3"/>
  <cols>
    <col min="1" max="2" width="9.33203125" customWidth="1"/>
    <col min="3" max="3" width="12.77734375" customWidth="1"/>
    <col min="4" max="4" width="7.44140625" customWidth="1"/>
    <col min="5" max="5" width="7.21875" customWidth="1"/>
    <col min="6" max="6" width="11.21875" customWidth="1"/>
    <col min="7" max="7" width="9.44140625" customWidth="1"/>
    <col min="8" max="8" width="8.6640625" customWidth="1"/>
    <col min="9" max="9" width="10.77734375" customWidth="1"/>
    <col min="11" max="11" width="10" customWidth="1"/>
  </cols>
  <sheetData>
    <row r="1" spans="1:11" ht="16.2" x14ac:dyDescent="0.3">
      <c r="A1" s="25" t="s">
        <v>89</v>
      </c>
      <c r="B1" s="25" t="s">
        <v>42</v>
      </c>
      <c r="C1" s="25" t="s">
        <v>122</v>
      </c>
      <c r="D1" s="25" t="s">
        <v>119</v>
      </c>
      <c r="E1" s="25" t="s">
        <v>121</v>
      </c>
      <c r="F1" s="25" t="s">
        <v>99</v>
      </c>
      <c r="G1" s="25" t="s">
        <v>90</v>
      </c>
      <c r="H1" s="25" t="s">
        <v>91</v>
      </c>
      <c r="I1" s="22">
        <v>0.05</v>
      </c>
      <c r="J1" s="32" t="s">
        <v>96</v>
      </c>
    </row>
    <row r="2" spans="1:11" x14ac:dyDescent="0.3">
      <c r="A2" s="27">
        <v>1</v>
      </c>
      <c r="B2" s="27">
        <v>2</v>
      </c>
      <c r="C2" s="17">
        <f>TREND($B$2:$B$11,$A$2:$A$11,A2)</f>
        <v>1.472727272727272</v>
      </c>
      <c r="D2" s="16">
        <f>(B2-C2)^2</f>
        <v>0.27801652892562062</v>
      </c>
      <c r="E2" s="16">
        <f t="shared" ref="E2:E16" si="0">(A2-$I$6)^2</f>
        <v>20.25</v>
      </c>
      <c r="F2" s="75">
        <f t="shared" ref="F2:F16" si="1">$K$4*SQRT(1+1/$A$11+(E2/$I$7))</f>
        <v>3.7859762916683972</v>
      </c>
      <c r="G2" s="75">
        <f t="shared" ref="G2:G16" si="2">C2+$I$3*F2</f>
        <v>10.203204257099534</v>
      </c>
      <c r="H2" s="75">
        <f t="shared" ref="H2:H16" si="3">C2-$I$3*F2</f>
        <v>-7.2577497116449896</v>
      </c>
      <c r="I2" s="22">
        <v>8</v>
      </c>
      <c r="J2" s="32" t="s">
        <v>97</v>
      </c>
    </row>
    <row r="3" spans="1:11" x14ac:dyDescent="0.3">
      <c r="A3" s="27">
        <v>2</v>
      </c>
      <c r="B3" s="27">
        <v>1</v>
      </c>
      <c r="C3" s="17">
        <f t="shared" ref="C3:C16" si="4">TREND($B$2:$B$11,$A$2:$A$11,A3)</f>
        <v>2.4121212121212117</v>
      </c>
      <c r="D3" s="16">
        <f t="shared" ref="D3:D11" si="5">(B3-C3)^2</f>
        <v>1.99408631772268</v>
      </c>
      <c r="E3" s="16">
        <f t="shared" si="0"/>
        <v>12.25</v>
      </c>
      <c r="F3" s="75">
        <f t="shared" si="1"/>
        <v>3.6325923033642411</v>
      </c>
      <c r="G3" s="75">
        <f t="shared" si="2"/>
        <v>10.788894085189982</v>
      </c>
      <c r="H3" s="75">
        <f t="shared" si="3"/>
        <v>-5.9646516609475579</v>
      </c>
      <c r="I3" s="33">
        <f>TINV(I1,I2)</f>
        <v>2.3060041352041671</v>
      </c>
      <c r="J3" s="32" t="s">
        <v>98</v>
      </c>
    </row>
    <row r="4" spans="1:11" x14ac:dyDescent="0.3">
      <c r="A4" s="27">
        <v>3</v>
      </c>
      <c r="B4" s="27">
        <v>1</v>
      </c>
      <c r="C4" s="17">
        <f t="shared" si="4"/>
        <v>3.3515151515151516</v>
      </c>
      <c r="D4" s="16">
        <f t="shared" si="5"/>
        <v>5.5296235078053266</v>
      </c>
      <c r="E4" s="16">
        <f t="shared" si="0"/>
        <v>6.25</v>
      </c>
      <c r="F4" s="75">
        <f t="shared" si="1"/>
        <v>3.5131623380510866</v>
      </c>
      <c r="G4" s="75">
        <f t="shared" si="2"/>
        <v>11.452882030704497</v>
      </c>
      <c r="H4" s="75">
        <f t="shared" si="3"/>
        <v>-4.7498517276741943</v>
      </c>
      <c r="I4" s="33">
        <f>STEYX(B2:B11,A2:A11)</f>
        <v>3.2267818662130257</v>
      </c>
      <c r="J4" s="32" t="s">
        <v>95</v>
      </c>
      <c r="K4" s="74">
        <f>SQRT(I5/I2)</f>
        <v>3.2267818662130252</v>
      </c>
    </row>
    <row r="5" spans="1:11" x14ac:dyDescent="0.3">
      <c r="A5" s="27">
        <v>4</v>
      </c>
      <c r="B5" s="27">
        <v>4</v>
      </c>
      <c r="C5" s="17">
        <f t="shared" si="4"/>
        <v>4.290909090909091</v>
      </c>
      <c r="D5" s="16">
        <f t="shared" si="5"/>
        <v>8.4628099173553781E-2</v>
      </c>
      <c r="E5" s="16">
        <f t="shared" si="0"/>
        <v>2.25</v>
      </c>
      <c r="F5" s="75">
        <f t="shared" si="1"/>
        <v>3.4312337131407329</v>
      </c>
      <c r="G5" s="75">
        <f t="shared" si="2"/>
        <v>12.203348222263571</v>
      </c>
      <c r="H5" s="75">
        <f t="shared" si="3"/>
        <v>-3.6215300404453883</v>
      </c>
      <c r="I5" s="74">
        <f>SUM(D2:D11)</f>
        <v>83.296969696969711</v>
      </c>
      <c r="J5" s="32" t="s">
        <v>123</v>
      </c>
    </row>
    <row r="6" spans="1:11" x14ac:dyDescent="0.3">
      <c r="A6" s="27">
        <v>5</v>
      </c>
      <c r="B6" s="27">
        <v>13</v>
      </c>
      <c r="C6" s="17">
        <f t="shared" si="4"/>
        <v>5.2303030303030305</v>
      </c>
      <c r="D6" s="16">
        <f t="shared" si="5"/>
        <v>60.368191000918273</v>
      </c>
      <c r="E6" s="16">
        <f t="shared" si="0"/>
        <v>0.25</v>
      </c>
      <c r="F6" s="75">
        <f t="shared" si="1"/>
        <v>3.3895268673577474</v>
      </c>
      <c r="G6" s="75">
        <f t="shared" si="2"/>
        <v>13.046566002815624</v>
      </c>
      <c r="H6" s="75">
        <f t="shared" si="3"/>
        <v>-2.5859599422095618</v>
      </c>
      <c r="I6" s="31">
        <f>AVERAGE(A2:A11)</f>
        <v>5.5</v>
      </c>
      <c r="J6" s="34" t="s">
        <v>124</v>
      </c>
    </row>
    <row r="7" spans="1:11" x14ac:dyDescent="0.3">
      <c r="A7" s="27">
        <v>6</v>
      </c>
      <c r="B7" s="27">
        <v>3</v>
      </c>
      <c r="C7" s="17">
        <f t="shared" si="4"/>
        <v>6.1696969696969708</v>
      </c>
      <c r="D7" s="16">
        <f t="shared" si="5"/>
        <v>10.04697887970616</v>
      </c>
      <c r="E7" s="16">
        <f t="shared" si="0"/>
        <v>0.25</v>
      </c>
      <c r="F7" s="75">
        <f t="shared" si="1"/>
        <v>3.3895268673577474</v>
      </c>
      <c r="G7" s="75">
        <f t="shared" si="2"/>
        <v>13.985959942209563</v>
      </c>
      <c r="H7" s="75">
        <f t="shared" si="3"/>
        <v>-1.6465660028156215</v>
      </c>
      <c r="I7" s="74">
        <f t="array" ref="I7">SUMSQ(C2:C11-$I$6)</f>
        <v>73.203030303030346</v>
      </c>
      <c r="J7" s="34" t="s">
        <v>146</v>
      </c>
    </row>
    <row r="8" spans="1:11" x14ac:dyDescent="0.3">
      <c r="A8" s="27">
        <v>7</v>
      </c>
      <c r="B8" s="27">
        <v>8</v>
      </c>
      <c r="C8" s="17">
        <f t="shared" si="4"/>
        <v>7.1090909090909102</v>
      </c>
      <c r="D8" s="16">
        <f t="shared" si="5"/>
        <v>0.79371900826446073</v>
      </c>
      <c r="E8" s="16">
        <f t="shared" si="0"/>
        <v>2.25</v>
      </c>
      <c r="F8" s="75">
        <f t="shared" si="1"/>
        <v>3.4312337131407329</v>
      </c>
      <c r="G8" s="75">
        <f t="shared" si="2"/>
        <v>15.02153004044539</v>
      </c>
      <c r="H8" s="75">
        <f t="shared" si="3"/>
        <v>-0.80334822226356906</v>
      </c>
      <c r="I8" s="31">
        <f t="array" ref="I8">SUMSQ(B2:B11-$I$6)</f>
        <v>156.5</v>
      </c>
      <c r="J8" s="29" t="s">
        <v>125</v>
      </c>
    </row>
    <row r="9" spans="1:11" x14ac:dyDescent="0.3">
      <c r="A9" s="27">
        <v>8</v>
      </c>
      <c r="B9" s="27">
        <v>6</v>
      </c>
      <c r="C9" s="17">
        <f t="shared" si="4"/>
        <v>8.0484848484848506</v>
      </c>
      <c r="D9" s="16">
        <f t="shared" si="5"/>
        <v>4.1962901744720016</v>
      </c>
      <c r="E9" s="16">
        <f t="shared" si="0"/>
        <v>6.25</v>
      </c>
      <c r="F9" s="75">
        <f t="shared" si="1"/>
        <v>3.5131623380510866</v>
      </c>
      <c r="G9" s="75">
        <f t="shared" si="2"/>
        <v>16.149851727674196</v>
      </c>
      <c r="H9" s="75">
        <f t="shared" si="3"/>
        <v>-5.2882030704495264E-2</v>
      </c>
    </row>
    <row r="10" spans="1:11" x14ac:dyDescent="0.3">
      <c r="A10" s="27">
        <v>9</v>
      </c>
      <c r="B10" s="27">
        <v>9</v>
      </c>
      <c r="C10" s="17">
        <f t="shared" si="4"/>
        <v>8.9878787878787882</v>
      </c>
      <c r="D10" s="16">
        <f t="shared" si="5"/>
        <v>1.4692378328741077E-4</v>
      </c>
      <c r="E10" s="16">
        <f t="shared" si="0"/>
        <v>12.25</v>
      </c>
      <c r="F10" s="75">
        <f t="shared" si="1"/>
        <v>3.6325923033642411</v>
      </c>
      <c r="G10" s="75">
        <f t="shared" si="2"/>
        <v>17.364651660947558</v>
      </c>
      <c r="H10" s="75">
        <f t="shared" si="3"/>
        <v>0.61110591481001819</v>
      </c>
    </row>
    <row r="11" spans="1:11" x14ac:dyDescent="0.3">
      <c r="A11" s="27">
        <v>10</v>
      </c>
      <c r="B11" s="27">
        <v>10</v>
      </c>
      <c r="C11" s="17">
        <f t="shared" si="4"/>
        <v>9.9272727272727295</v>
      </c>
      <c r="D11" s="16">
        <f t="shared" si="5"/>
        <v>5.2892561983467878E-3</v>
      </c>
      <c r="E11" s="16">
        <f t="shared" si="0"/>
        <v>20.25</v>
      </c>
      <c r="F11" s="75">
        <f t="shared" si="1"/>
        <v>3.7859762916683972</v>
      </c>
      <c r="G11" s="75">
        <f t="shared" si="2"/>
        <v>18.657749711644989</v>
      </c>
      <c r="H11" s="75">
        <f t="shared" si="3"/>
        <v>1.1967957429004681</v>
      </c>
    </row>
    <row r="12" spans="1:11" x14ac:dyDescent="0.3">
      <c r="A12" s="27">
        <v>11</v>
      </c>
      <c r="B12" s="16"/>
      <c r="C12" s="17">
        <f t="shared" si="4"/>
        <v>10.866666666666667</v>
      </c>
      <c r="E12" s="16">
        <f t="shared" si="0"/>
        <v>30.25</v>
      </c>
      <c r="F12" s="75">
        <f t="shared" si="1"/>
        <v>3.9693801190290117</v>
      </c>
      <c r="G12" s="75">
        <f t="shared" si="2"/>
        <v>20.020073635344779</v>
      </c>
      <c r="H12" s="75">
        <f t="shared" si="3"/>
        <v>1.7132596979885566</v>
      </c>
    </row>
    <row r="13" spans="1:11" x14ac:dyDescent="0.3">
      <c r="A13" s="27">
        <v>12</v>
      </c>
      <c r="B13" s="16"/>
      <c r="C13" s="17">
        <f t="shared" si="4"/>
        <v>11.806060606060608</v>
      </c>
      <c r="E13" s="16">
        <f t="shared" si="0"/>
        <v>42.25</v>
      </c>
      <c r="F13" s="75">
        <f t="shared" si="1"/>
        <v>4.1788530707915381</v>
      </c>
      <c r="G13" s="75">
        <f t="shared" si="2"/>
        <v>21.442513067716526</v>
      </c>
      <c r="H13" s="75">
        <f t="shared" si="3"/>
        <v>2.1696081444046893</v>
      </c>
    </row>
    <row r="14" spans="1:11" x14ac:dyDescent="0.3">
      <c r="A14" s="27">
        <v>13</v>
      </c>
      <c r="B14" s="16"/>
      <c r="C14" s="17">
        <f t="shared" si="4"/>
        <v>12.74545454545455</v>
      </c>
      <c r="E14" s="16">
        <f t="shared" si="0"/>
        <v>56.25</v>
      </c>
      <c r="F14" s="75">
        <f t="shared" si="1"/>
        <v>4.4106824704163969</v>
      </c>
      <c r="G14" s="75">
        <f t="shared" si="2"/>
        <v>22.916506561307294</v>
      </c>
      <c r="H14" s="75">
        <f t="shared" si="3"/>
        <v>2.5744025296018069</v>
      </c>
    </row>
    <row r="15" spans="1:11" x14ac:dyDescent="0.3">
      <c r="A15" s="27">
        <v>14</v>
      </c>
      <c r="B15" s="16"/>
      <c r="C15" s="17">
        <f t="shared" si="4"/>
        <v>13.684848484848487</v>
      </c>
      <c r="E15" s="16">
        <f t="shared" si="0"/>
        <v>72.25</v>
      </c>
      <c r="F15" s="75">
        <f t="shared" si="1"/>
        <v>4.6615339891570686</v>
      </c>
      <c r="G15" s="75">
        <f t="shared" si="2"/>
        <v>24.434365140239464</v>
      </c>
      <c r="H15" s="75">
        <f t="shared" si="3"/>
        <v>2.9353318294575104</v>
      </c>
    </row>
    <row r="16" spans="1:11" x14ac:dyDescent="0.3">
      <c r="A16" s="27">
        <v>15</v>
      </c>
      <c r="B16" s="16"/>
      <c r="C16" s="17">
        <f t="shared" si="4"/>
        <v>14.624242424242428</v>
      </c>
      <c r="D16" s="16"/>
      <c r="E16" s="16">
        <f t="shared" si="0"/>
        <v>90.25</v>
      </c>
      <c r="F16" s="75">
        <f t="shared" si="1"/>
        <v>4.9285039128470078</v>
      </c>
      <c r="G16" s="75">
        <f t="shared" si="2"/>
        <v>25.989392827637545</v>
      </c>
      <c r="H16" s="75">
        <f t="shared" si="3"/>
        <v>3.2590920208473104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1"/>
  <sheetViews>
    <sheetView workbookViewId="0">
      <selection activeCell="R17" sqref="R17"/>
    </sheetView>
  </sheetViews>
  <sheetFormatPr defaultRowHeight="14.4" x14ac:dyDescent="0.3"/>
  <cols>
    <col min="1" max="1" width="11.44140625" style="35" customWidth="1"/>
    <col min="2" max="3" width="13.33203125" style="35" customWidth="1"/>
  </cols>
  <sheetData>
    <row r="1" spans="1:3" x14ac:dyDescent="0.3">
      <c r="A1" t="s">
        <v>4</v>
      </c>
      <c r="B1" s="76" t="s">
        <v>148</v>
      </c>
      <c r="C1" s="76" t="s">
        <v>147</v>
      </c>
    </row>
    <row r="2" spans="1:3" x14ac:dyDescent="0.3">
      <c r="A2" s="77">
        <v>42549</v>
      </c>
      <c r="B2" s="69">
        <v>62.599997999999999</v>
      </c>
      <c r="C2" s="69">
        <v>17409.720702999999</v>
      </c>
    </row>
    <row r="3" spans="1:3" x14ac:dyDescent="0.3">
      <c r="A3" s="77">
        <v>42550</v>
      </c>
      <c r="B3" s="69">
        <v>64.089995999999999</v>
      </c>
      <c r="C3" s="69">
        <v>17694.679688</v>
      </c>
    </row>
    <row r="4" spans="1:3" x14ac:dyDescent="0.3">
      <c r="A4" s="77">
        <v>42551</v>
      </c>
      <c r="B4" s="69">
        <v>64.669998000000007</v>
      </c>
      <c r="C4" s="69">
        <v>17929.990234000001</v>
      </c>
    </row>
    <row r="5" spans="1:3" x14ac:dyDescent="0.3">
      <c r="A5" s="77">
        <v>42552</v>
      </c>
      <c r="B5" s="69">
        <v>64.769997000000004</v>
      </c>
      <c r="C5" s="69">
        <v>17949.369140999999</v>
      </c>
    </row>
    <row r="6" spans="1:3" x14ac:dyDescent="0.3">
      <c r="A6" s="77">
        <v>42556</v>
      </c>
      <c r="B6" s="69">
        <v>64.589995999999999</v>
      </c>
      <c r="C6" s="69">
        <v>17840.619140999999</v>
      </c>
    </row>
    <row r="7" spans="1:3" x14ac:dyDescent="0.3">
      <c r="A7" s="77">
        <v>42557</v>
      </c>
      <c r="B7" s="69">
        <v>64.739998</v>
      </c>
      <c r="C7" s="69">
        <v>17918.619140999999</v>
      </c>
    </row>
    <row r="8" spans="1:3" x14ac:dyDescent="0.3">
      <c r="A8" s="77">
        <v>42558</v>
      </c>
      <c r="B8" s="69">
        <v>64.919998000000007</v>
      </c>
      <c r="C8" s="69">
        <v>17895.880859000001</v>
      </c>
    </row>
    <row r="9" spans="1:3" x14ac:dyDescent="0.3">
      <c r="A9" s="77">
        <v>42559</v>
      </c>
      <c r="B9" s="69">
        <v>65.879997000000003</v>
      </c>
      <c r="C9" s="69">
        <v>18146.740234000001</v>
      </c>
    </row>
    <row r="10" spans="1:3" x14ac:dyDescent="0.3">
      <c r="A10" s="77">
        <v>42562</v>
      </c>
      <c r="B10" s="69">
        <v>66.430000000000007</v>
      </c>
      <c r="C10" s="69">
        <v>18226.929688</v>
      </c>
    </row>
    <row r="11" spans="1:3" x14ac:dyDescent="0.3">
      <c r="A11" s="77">
        <v>42563</v>
      </c>
      <c r="B11" s="69">
        <v>67.309997999999993</v>
      </c>
      <c r="C11" s="69">
        <v>18347.669922000001</v>
      </c>
    </row>
    <row r="12" spans="1:3" x14ac:dyDescent="0.3">
      <c r="A12" s="77">
        <v>42564</v>
      </c>
      <c r="B12" s="69">
        <v>67.169998000000007</v>
      </c>
      <c r="C12" s="69">
        <v>18372.119140999999</v>
      </c>
    </row>
    <row r="13" spans="1:3" x14ac:dyDescent="0.3">
      <c r="A13" s="77">
        <v>42565</v>
      </c>
      <c r="B13" s="69">
        <v>67.370002999999997</v>
      </c>
      <c r="C13" s="69">
        <v>18506.410156000002</v>
      </c>
    </row>
    <row r="14" spans="1:3" x14ac:dyDescent="0.3">
      <c r="A14" s="77">
        <v>42566</v>
      </c>
      <c r="B14" s="69">
        <v>67.510002</v>
      </c>
      <c r="C14" s="69">
        <v>18516.550781000002</v>
      </c>
    </row>
    <row r="15" spans="1:3" x14ac:dyDescent="0.3">
      <c r="A15" s="77">
        <v>42569</v>
      </c>
      <c r="B15" s="69">
        <v>67.599997999999999</v>
      </c>
      <c r="C15" s="69">
        <v>18533.050781000002</v>
      </c>
    </row>
    <row r="16" spans="1:3" x14ac:dyDescent="0.3">
      <c r="A16" s="77">
        <v>42570</v>
      </c>
      <c r="B16" s="69">
        <v>68.069999999999993</v>
      </c>
      <c r="C16" s="69">
        <v>18559.009765999999</v>
      </c>
    </row>
    <row r="17" spans="1:3" x14ac:dyDescent="0.3">
      <c r="A17" s="77">
        <v>42571</v>
      </c>
      <c r="B17" s="69">
        <v>67.739998</v>
      </c>
      <c r="C17" s="69">
        <v>18595.029297000001</v>
      </c>
    </row>
    <row r="18" spans="1:3" x14ac:dyDescent="0.3">
      <c r="A18" s="77">
        <v>42572</v>
      </c>
      <c r="B18" s="69">
        <v>67.370002999999997</v>
      </c>
      <c r="C18" s="69">
        <v>18517.230468999998</v>
      </c>
    </row>
    <row r="19" spans="1:3" x14ac:dyDescent="0.3">
      <c r="A19" s="77">
        <v>42573</v>
      </c>
      <c r="B19" s="69">
        <v>67.790001000000004</v>
      </c>
      <c r="C19" s="69">
        <v>18570.849609000001</v>
      </c>
    </row>
    <row r="20" spans="1:3" x14ac:dyDescent="0.3">
      <c r="A20" s="77">
        <v>42576</v>
      </c>
      <c r="B20" s="69">
        <v>68.440002000000007</v>
      </c>
      <c r="C20" s="69">
        <v>18493.060547000001</v>
      </c>
    </row>
    <row r="21" spans="1:3" x14ac:dyDescent="0.3">
      <c r="A21" s="77">
        <v>42577</v>
      </c>
      <c r="B21" s="69">
        <v>68.5</v>
      </c>
      <c r="C21" s="69">
        <v>18473.75</v>
      </c>
    </row>
    <row r="22" spans="1:3" x14ac:dyDescent="0.3">
      <c r="A22" s="77">
        <v>42578</v>
      </c>
      <c r="B22" s="69">
        <v>70.839995999999999</v>
      </c>
      <c r="C22" s="69">
        <v>18472.169922000001</v>
      </c>
    </row>
    <row r="23" spans="1:3" x14ac:dyDescent="0.3">
      <c r="A23" s="77">
        <v>42579</v>
      </c>
      <c r="B23" s="69">
        <v>70.870002999999997</v>
      </c>
      <c r="C23" s="69">
        <v>18456.349609000001</v>
      </c>
    </row>
    <row r="24" spans="1:3" x14ac:dyDescent="0.3">
      <c r="A24" s="77">
        <v>42580</v>
      </c>
      <c r="B24" s="69">
        <v>70.760002</v>
      </c>
      <c r="C24" s="69">
        <v>18432.240234000001</v>
      </c>
    </row>
    <row r="25" spans="1:3" x14ac:dyDescent="0.3">
      <c r="A25" s="77">
        <v>42583</v>
      </c>
      <c r="B25" s="69">
        <v>71.419998000000007</v>
      </c>
      <c r="C25" s="69">
        <v>18404.509765999999</v>
      </c>
    </row>
    <row r="26" spans="1:3" x14ac:dyDescent="0.3">
      <c r="A26" s="77">
        <v>42584</v>
      </c>
      <c r="B26" s="69">
        <v>71.199996999999996</v>
      </c>
      <c r="C26" s="69">
        <v>18313.769531000002</v>
      </c>
    </row>
    <row r="27" spans="1:3" x14ac:dyDescent="0.3">
      <c r="A27" s="77">
        <v>42585</v>
      </c>
      <c r="B27" s="69">
        <v>71.529999000000004</v>
      </c>
      <c r="C27" s="69">
        <v>18355</v>
      </c>
    </row>
    <row r="28" spans="1:3" x14ac:dyDescent="0.3">
      <c r="A28" s="77">
        <v>42586</v>
      </c>
      <c r="B28" s="69">
        <v>71.430000000000007</v>
      </c>
      <c r="C28" s="69">
        <v>18352.050781000002</v>
      </c>
    </row>
    <row r="29" spans="1:3" x14ac:dyDescent="0.3">
      <c r="A29" s="77">
        <v>42587</v>
      </c>
      <c r="B29" s="69">
        <v>71.180000000000007</v>
      </c>
      <c r="C29" s="69">
        <v>18543.529297000001</v>
      </c>
    </row>
    <row r="30" spans="1:3" x14ac:dyDescent="0.3">
      <c r="A30" s="77">
        <v>42590</v>
      </c>
      <c r="B30" s="69">
        <v>70.5</v>
      </c>
      <c r="C30" s="69">
        <v>18529.289062</v>
      </c>
    </row>
    <row r="31" spans="1:3" x14ac:dyDescent="0.3">
      <c r="A31" s="77">
        <v>42591</v>
      </c>
      <c r="B31" s="69">
        <v>70.230002999999996</v>
      </c>
      <c r="C31" s="69">
        <v>18533.050781000002</v>
      </c>
    </row>
    <row r="32" spans="1:3" x14ac:dyDescent="0.3">
      <c r="A32" s="77">
        <v>42592</v>
      </c>
      <c r="B32" s="69">
        <v>70.319999999999993</v>
      </c>
      <c r="C32" s="69">
        <v>18495.660156000002</v>
      </c>
    </row>
    <row r="33" spans="1:3" x14ac:dyDescent="0.3">
      <c r="A33" s="77">
        <v>42593</v>
      </c>
      <c r="B33" s="69">
        <v>70.029999000000004</v>
      </c>
      <c r="C33" s="69">
        <v>18613.519531000002</v>
      </c>
    </row>
    <row r="34" spans="1:3" x14ac:dyDescent="0.3">
      <c r="A34" s="77">
        <v>42594</v>
      </c>
      <c r="B34" s="69">
        <v>70.150002000000001</v>
      </c>
      <c r="C34" s="69">
        <v>18576.470702999999</v>
      </c>
    </row>
    <row r="35" spans="1:3" x14ac:dyDescent="0.3">
      <c r="A35" s="77">
        <v>42597</v>
      </c>
      <c r="B35" s="69">
        <v>70.089995999999999</v>
      </c>
      <c r="C35" s="69">
        <v>18636.050781000002</v>
      </c>
    </row>
    <row r="36" spans="1:3" x14ac:dyDescent="0.3">
      <c r="A36" s="77">
        <v>42598</v>
      </c>
      <c r="B36" s="69">
        <v>69.279999000000004</v>
      </c>
      <c r="C36" s="69">
        <v>18552.019531000002</v>
      </c>
    </row>
    <row r="37" spans="1:3" x14ac:dyDescent="0.3">
      <c r="A37" s="77">
        <v>42599</v>
      </c>
      <c r="B37" s="69">
        <v>70.209998999999996</v>
      </c>
      <c r="C37" s="69">
        <v>18573.939452999999</v>
      </c>
    </row>
    <row r="38" spans="1:3" x14ac:dyDescent="0.3">
      <c r="A38" s="77">
        <v>42600</v>
      </c>
      <c r="B38" s="69">
        <v>70.319999999999993</v>
      </c>
      <c r="C38" s="69">
        <v>18597.699218999998</v>
      </c>
    </row>
    <row r="39" spans="1:3" x14ac:dyDescent="0.3">
      <c r="A39" s="77">
        <v>42601</v>
      </c>
      <c r="B39" s="69">
        <v>70.440002000000007</v>
      </c>
      <c r="C39" s="69">
        <v>18552.570312</v>
      </c>
    </row>
    <row r="40" spans="1:3" x14ac:dyDescent="0.3">
      <c r="A40" s="77">
        <v>42604</v>
      </c>
      <c r="B40" s="69">
        <v>70.480002999999996</v>
      </c>
      <c r="C40" s="69">
        <v>18529.419922000001</v>
      </c>
    </row>
    <row r="41" spans="1:3" x14ac:dyDescent="0.3">
      <c r="A41" s="77">
        <v>42605</v>
      </c>
      <c r="B41" s="69">
        <v>70.559997999999993</v>
      </c>
      <c r="C41" s="69">
        <v>18547.300781000002</v>
      </c>
    </row>
    <row r="42" spans="1:3" x14ac:dyDescent="0.3">
      <c r="A42" s="77">
        <v>42606</v>
      </c>
      <c r="B42" s="69">
        <v>70.279999000000004</v>
      </c>
      <c r="C42" s="69">
        <v>18481.480468999998</v>
      </c>
    </row>
    <row r="43" spans="1:3" x14ac:dyDescent="0.3">
      <c r="A43" s="77">
        <v>42607</v>
      </c>
      <c r="B43" s="69">
        <v>70.620002999999997</v>
      </c>
      <c r="C43" s="69">
        <v>18448.410156000002</v>
      </c>
    </row>
    <row r="44" spans="1:3" x14ac:dyDescent="0.3">
      <c r="A44" s="77">
        <v>42608</v>
      </c>
      <c r="B44" s="69">
        <v>70.489998</v>
      </c>
      <c r="C44" s="69">
        <v>18395.400390999999</v>
      </c>
    </row>
    <row r="45" spans="1:3" x14ac:dyDescent="0.3">
      <c r="A45" s="77">
        <v>42611</v>
      </c>
      <c r="B45" s="69">
        <v>71.099997999999999</v>
      </c>
      <c r="C45" s="69">
        <v>18502.990234000001</v>
      </c>
    </row>
    <row r="46" spans="1:3" x14ac:dyDescent="0.3">
      <c r="A46" s="77">
        <v>42612</v>
      </c>
      <c r="B46" s="69">
        <v>71.339995999999999</v>
      </c>
      <c r="C46" s="69">
        <v>18454.300781000002</v>
      </c>
    </row>
    <row r="47" spans="1:3" x14ac:dyDescent="0.3">
      <c r="A47" s="77">
        <v>42613</v>
      </c>
      <c r="B47" s="69">
        <v>71.209998999999996</v>
      </c>
      <c r="C47" s="69">
        <v>18400.880859000001</v>
      </c>
    </row>
    <row r="48" spans="1:3" x14ac:dyDescent="0.3">
      <c r="A48" s="77">
        <v>42614</v>
      </c>
      <c r="B48" s="69">
        <v>71.639999000000003</v>
      </c>
      <c r="C48" s="69">
        <v>18419.300781000002</v>
      </c>
    </row>
    <row r="49" spans="1:3" x14ac:dyDescent="0.3">
      <c r="A49" s="77">
        <v>42615</v>
      </c>
      <c r="B49" s="69">
        <v>71.669998000000007</v>
      </c>
      <c r="C49" s="69">
        <v>18491.960938</v>
      </c>
    </row>
    <row r="50" spans="1:3" x14ac:dyDescent="0.3">
      <c r="A50" s="77">
        <v>42619</v>
      </c>
      <c r="B50" s="69">
        <v>71.5</v>
      </c>
      <c r="C50" s="69">
        <v>18538.119140999999</v>
      </c>
    </row>
    <row r="51" spans="1:3" x14ac:dyDescent="0.3">
      <c r="A51" s="77">
        <v>42620</v>
      </c>
      <c r="B51" s="69">
        <v>70.900002000000001</v>
      </c>
      <c r="C51" s="69">
        <v>18526.140625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4"/>
  <sheetViews>
    <sheetView topLeftCell="A55" workbookViewId="0">
      <selection activeCell="L79" sqref="L79"/>
    </sheetView>
  </sheetViews>
  <sheetFormatPr defaultRowHeight="14.4" x14ac:dyDescent="0.3"/>
  <sheetData>
    <row r="1" spans="1:21" x14ac:dyDescent="0.3">
      <c r="A1" t="s">
        <v>47</v>
      </c>
      <c r="S1" t="s">
        <v>4</v>
      </c>
      <c r="T1" s="76" t="s">
        <v>148</v>
      </c>
      <c r="U1" s="12" t="s">
        <v>149</v>
      </c>
    </row>
    <row r="2" spans="1:21" ht="15" thickBot="1" x14ac:dyDescent="0.35">
      <c r="S2" s="77">
        <v>42549</v>
      </c>
      <c r="T2" s="69">
        <v>62.599997999999999</v>
      </c>
      <c r="U2" s="7">
        <v>62.040122585448984</v>
      </c>
    </row>
    <row r="3" spans="1:21" x14ac:dyDescent="0.3">
      <c r="A3" s="13" t="s">
        <v>48</v>
      </c>
      <c r="B3" s="13"/>
      <c r="S3" s="77">
        <v>42550</v>
      </c>
      <c r="T3" s="69">
        <v>64.089995999999999</v>
      </c>
      <c r="U3" s="7">
        <v>64.075681712540884</v>
      </c>
    </row>
    <row r="4" spans="1:21" x14ac:dyDescent="0.3">
      <c r="A4" s="7" t="s">
        <v>51</v>
      </c>
      <c r="B4" s="7">
        <v>0.76618319911046673</v>
      </c>
      <c r="S4" s="77">
        <v>42551</v>
      </c>
      <c r="T4" s="69">
        <v>64.669998000000007</v>
      </c>
      <c r="U4" s="7">
        <v>65.756585122592242</v>
      </c>
    </row>
    <row r="5" spans="1:21" x14ac:dyDescent="0.3">
      <c r="A5" s="7" t="s">
        <v>54</v>
      </c>
      <c r="B5" s="7">
        <v>0.58703669459914909</v>
      </c>
      <c r="S5" s="77">
        <v>42552</v>
      </c>
      <c r="T5" s="69">
        <v>64.769997000000004</v>
      </c>
      <c r="U5" s="7">
        <v>65.895015258483255</v>
      </c>
    </row>
    <row r="6" spans="1:21" x14ac:dyDescent="0.3">
      <c r="A6" s="7" t="s">
        <v>56</v>
      </c>
      <c r="B6" s="7">
        <v>0.57843329240329799</v>
      </c>
      <c r="S6" s="77">
        <v>42556</v>
      </c>
      <c r="T6" s="69">
        <v>64.589995999999999</v>
      </c>
      <c r="U6" s="7">
        <v>65.118176952889044</v>
      </c>
    </row>
    <row r="7" spans="1:21" x14ac:dyDescent="0.3">
      <c r="A7" s="7" t="s">
        <v>58</v>
      </c>
      <c r="B7" s="7">
        <v>1.59169357529897</v>
      </c>
      <c r="S7" s="77">
        <v>42557</v>
      </c>
      <c r="T7" s="69">
        <v>64.739998</v>
      </c>
      <c r="U7" s="7">
        <v>65.675357530694541</v>
      </c>
    </row>
    <row r="8" spans="1:21" ht="15" thickBot="1" x14ac:dyDescent="0.35">
      <c r="A8" s="8" t="s">
        <v>60</v>
      </c>
      <c r="B8" s="8">
        <v>50</v>
      </c>
      <c r="S8" s="77">
        <v>42558</v>
      </c>
      <c r="T8" s="69">
        <v>64.919998000000007</v>
      </c>
      <c r="U8" s="7">
        <v>65.512930234501425</v>
      </c>
    </row>
    <row r="9" spans="1:21" x14ac:dyDescent="0.3">
      <c r="S9" s="77">
        <v>42559</v>
      </c>
      <c r="T9" s="69">
        <v>65.879997000000003</v>
      </c>
      <c r="U9" s="7">
        <v>67.304904228224814</v>
      </c>
    </row>
    <row r="10" spans="1:21" ht="15" thickBot="1" x14ac:dyDescent="0.35">
      <c r="A10" t="s">
        <v>62</v>
      </c>
      <c r="S10" s="77">
        <v>42562</v>
      </c>
      <c r="T10" s="69">
        <v>66.430000000000007</v>
      </c>
      <c r="U10" s="7">
        <v>67.877724821989261</v>
      </c>
    </row>
    <row r="11" spans="1:21" x14ac:dyDescent="0.3">
      <c r="A11" s="12"/>
      <c r="B11" s="12" t="s">
        <v>65</v>
      </c>
      <c r="C11" s="12" t="s">
        <v>66</v>
      </c>
      <c r="D11" s="12" t="s">
        <v>67</v>
      </c>
      <c r="E11" s="12" t="s">
        <v>46</v>
      </c>
      <c r="F11" s="12" t="s">
        <v>68</v>
      </c>
      <c r="S11" s="77">
        <v>42563</v>
      </c>
      <c r="T11" s="69">
        <v>67.309997999999993</v>
      </c>
      <c r="U11" s="7">
        <v>68.740213454610938</v>
      </c>
    </row>
    <row r="12" spans="1:21" x14ac:dyDescent="0.3">
      <c r="A12" s="7" t="s">
        <v>69</v>
      </c>
      <c r="B12" s="7">
        <v>1</v>
      </c>
      <c r="C12" s="7">
        <v>172.86773817912086</v>
      </c>
      <c r="D12" s="7">
        <v>172.86773817912086</v>
      </c>
      <c r="E12" s="7">
        <v>68.233087473493214</v>
      </c>
      <c r="F12" s="7">
        <v>8.9265340410334075E-11</v>
      </c>
      <c r="S12" s="77">
        <v>42564</v>
      </c>
      <c r="T12" s="69">
        <v>67.169998000000007</v>
      </c>
      <c r="U12" s="7">
        <v>68.9148625567816</v>
      </c>
    </row>
    <row r="13" spans="1:21" x14ac:dyDescent="0.3">
      <c r="A13" s="7" t="s">
        <v>70</v>
      </c>
      <c r="B13" s="7">
        <v>48</v>
      </c>
      <c r="C13" s="7">
        <v>121.60744500710486</v>
      </c>
      <c r="D13" s="7">
        <v>2.533488437648018</v>
      </c>
      <c r="E13" s="7"/>
      <c r="F13" s="7"/>
      <c r="S13" s="77">
        <v>42565</v>
      </c>
      <c r="T13" s="69">
        <v>67.370002999999997</v>
      </c>
      <c r="U13" s="7">
        <v>69.874149035394254</v>
      </c>
    </row>
    <row r="14" spans="1:21" ht="15" thickBot="1" x14ac:dyDescent="0.35">
      <c r="A14" s="8" t="s">
        <v>71</v>
      </c>
      <c r="B14" s="8">
        <v>49</v>
      </c>
      <c r="C14" s="8">
        <v>294.47518318622571</v>
      </c>
      <c r="D14" s="8"/>
      <c r="E14" s="8"/>
      <c r="F14" s="8"/>
      <c r="S14" s="77">
        <v>42566</v>
      </c>
      <c r="T14" s="69">
        <v>67.510002</v>
      </c>
      <c r="U14" s="7">
        <v>69.946586975096949</v>
      </c>
    </row>
    <row r="15" spans="1:21" ht="15" thickBot="1" x14ac:dyDescent="0.35">
      <c r="S15" s="77">
        <v>42569</v>
      </c>
      <c r="T15" s="69">
        <v>67.599997999999999</v>
      </c>
      <c r="U15" s="7">
        <v>70.064452097325017</v>
      </c>
    </row>
    <row r="16" spans="1:21" x14ac:dyDescent="0.3">
      <c r="A16" s="12"/>
      <c r="B16" s="12" t="s">
        <v>72</v>
      </c>
      <c r="C16" s="12" t="s">
        <v>58</v>
      </c>
      <c r="D16" s="12" t="s">
        <v>73</v>
      </c>
      <c r="E16" s="12" t="s">
        <v>74</v>
      </c>
      <c r="F16" s="12" t="s">
        <v>75</v>
      </c>
      <c r="G16" s="12" t="s">
        <v>76</v>
      </c>
      <c r="H16" s="12" t="s">
        <v>77</v>
      </c>
      <c r="I16" s="12" t="s">
        <v>78</v>
      </c>
      <c r="S16" s="77">
        <v>42570</v>
      </c>
      <c r="T16" s="69">
        <v>68.069999999999993</v>
      </c>
      <c r="U16" s="7">
        <v>70.24988597247301</v>
      </c>
    </row>
    <row r="17" spans="1:21" x14ac:dyDescent="0.3">
      <c r="A17" s="7" t="s">
        <v>79</v>
      </c>
      <c r="B17" s="7">
        <v>-62.323444603394506</v>
      </c>
      <c r="C17" s="7">
        <v>15.900039358156635</v>
      </c>
      <c r="D17" s="7">
        <v>-3.9197037944074595</v>
      </c>
      <c r="E17" s="7">
        <v>2.8077123585616514E-4</v>
      </c>
      <c r="F17" s="7">
        <v>-94.292616384497506</v>
      </c>
      <c r="G17" s="7">
        <v>-30.354272822291502</v>
      </c>
      <c r="H17" s="7">
        <v>-94.292616384497506</v>
      </c>
      <c r="I17" s="7">
        <v>-30.354272822291502</v>
      </c>
      <c r="S17" s="77">
        <v>42571</v>
      </c>
      <c r="T17" s="69">
        <v>67.739998</v>
      </c>
      <c r="U17" s="7">
        <v>70.507185755740494</v>
      </c>
    </row>
    <row r="18" spans="1:21" ht="15" thickBot="1" x14ac:dyDescent="0.35">
      <c r="A18" s="8" t="s">
        <v>147</v>
      </c>
      <c r="B18" s="8">
        <v>7.1433407410960636E-3</v>
      </c>
      <c r="C18" s="8">
        <v>8.6477645190848995E-4</v>
      </c>
      <c r="D18" s="8">
        <v>8.2603321648401771</v>
      </c>
      <c r="E18" s="8">
        <v>8.9265340410334411E-11</v>
      </c>
      <c r="F18" s="8">
        <v>5.404591149313894E-3</v>
      </c>
      <c r="G18" s="8">
        <v>8.8820903328782324E-3</v>
      </c>
      <c r="H18" s="8">
        <v>5.404591149313894E-3</v>
      </c>
      <c r="I18" s="8">
        <v>8.8820903328782324E-3</v>
      </c>
      <c r="S18" s="77">
        <v>42572</v>
      </c>
      <c r="T18" s="69">
        <v>67.370002999999997</v>
      </c>
      <c r="U18" s="7">
        <v>69.95144221807854</v>
      </c>
    </row>
    <row r="19" spans="1:21" x14ac:dyDescent="0.3">
      <c r="S19" s="77">
        <v>42573</v>
      </c>
      <c r="T19" s="69">
        <v>67.790001000000004</v>
      </c>
      <c r="U19" s="7">
        <v>70.334462005343113</v>
      </c>
    </row>
    <row r="20" spans="1:21" x14ac:dyDescent="0.3">
      <c r="S20" s="77">
        <v>42576</v>
      </c>
      <c r="T20" s="69">
        <v>68.440002000000007</v>
      </c>
      <c r="U20" s="7">
        <v>69.778788229546848</v>
      </c>
    </row>
    <row r="21" spans="1:21" x14ac:dyDescent="0.3">
      <c r="S21" s="77">
        <v>42577</v>
      </c>
      <c r="T21" s="69">
        <v>68.5</v>
      </c>
      <c r="U21" s="7">
        <v>69.640846412428886</v>
      </c>
    </row>
    <row r="22" spans="1:21" x14ac:dyDescent="0.3">
      <c r="A22" t="s">
        <v>80</v>
      </c>
      <c r="F22" t="s">
        <v>81</v>
      </c>
      <c r="S22" s="77">
        <v>42578</v>
      </c>
      <c r="T22" s="69">
        <v>70.839995999999999</v>
      </c>
      <c r="U22" s="7">
        <v>69.62955937687741</v>
      </c>
    </row>
    <row r="23" spans="1:21" ht="15" thickBot="1" x14ac:dyDescent="0.35">
      <c r="S23" s="77">
        <v>42579</v>
      </c>
      <c r="T23" s="69">
        <v>70.870002999999997</v>
      </c>
      <c r="U23" s="7">
        <v>69.516549490487591</v>
      </c>
    </row>
    <row r="24" spans="1:21" x14ac:dyDescent="0.3">
      <c r="A24" s="12" t="s">
        <v>82</v>
      </c>
      <c r="B24" s="12" t="s">
        <v>149</v>
      </c>
      <c r="C24" s="12" t="s">
        <v>3</v>
      </c>
      <c r="D24" s="12" t="s">
        <v>84</v>
      </c>
      <c r="F24" s="12" t="s">
        <v>85</v>
      </c>
      <c r="G24" s="12" t="s">
        <v>148</v>
      </c>
      <c r="S24" s="77">
        <v>42580</v>
      </c>
      <c r="T24" s="69">
        <v>70.760002</v>
      </c>
      <c r="U24" s="7">
        <v>69.344328009807754</v>
      </c>
    </row>
    <row r="25" spans="1:21" x14ac:dyDescent="0.3">
      <c r="A25" s="7">
        <v>1</v>
      </c>
      <c r="B25" s="7">
        <v>62.040122585448984</v>
      </c>
      <c r="C25" s="7">
        <v>0.55987541455101564</v>
      </c>
      <c r="D25" s="7">
        <v>0.35539339735991066</v>
      </c>
      <c r="F25" s="7">
        <v>1</v>
      </c>
      <c r="G25" s="7">
        <v>62.599997999999999</v>
      </c>
      <c r="S25" s="77">
        <v>42583</v>
      </c>
      <c r="T25" s="69">
        <v>71.419998000000007</v>
      </c>
      <c r="U25" s="7">
        <v>69.146239827973659</v>
      </c>
    </row>
    <row r="26" spans="1:21" x14ac:dyDescent="0.3">
      <c r="A26" s="7">
        <v>2</v>
      </c>
      <c r="B26" s="7">
        <v>64.075681712540884</v>
      </c>
      <c r="C26" s="7">
        <v>1.4314287459114894E-2</v>
      </c>
      <c r="D26" s="7">
        <v>9.0863129879721859E-3</v>
      </c>
      <c r="F26" s="7">
        <v>3</v>
      </c>
      <c r="G26" s="7">
        <v>64.089995999999999</v>
      </c>
      <c r="S26" s="77">
        <v>42584</v>
      </c>
      <c r="T26" s="69">
        <v>71.199996999999996</v>
      </c>
      <c r="U26" s="7">
        <v>68.498051410441548</v>
      </c>
    </row>
    <row r="27" spans="1:21" x14ac:dyDescent="0.3">
      <c r="A27" s="7">
        <v>3</v>
      </c>
      <c r="B27" s="7">
        <v>65.756585122592242</v>
      </c>
      <c r="C27" s="7">
        <v>-1.0865871225922348</v>
      </c>
      <c r="D27" s="7">
        <v>-0.68973539289140684</v>
      </c>
      <c r="F27" s="7">
        <v>5</v>
      </c>
      <c r="G27" s="7">
        <v>64.589995999999999</v>
      </c>
      <c r="S27" s="77">
        <v>42585</v>
      </c>
      <c r="T27" s="69">
        <v>71.529999000000004</v>
      </c>
      <c r="U27" s="7">
        <v>68.792574699423739</v>
      </c>
    </row>
    <row r="28" spans="1:21" x14ac:dyDescent="0.3">
      <c r="A28" s="7">
        <v>4</v>
      </c>
      <c r="B28" s="7">
        <v>65.895015258483255</v>
      </c>
      <c r="C28" s="7">
        <v>-1.1250182584832515</v>
      </c>
      <c r="D28" s="7">
        <v>-0.71413041291503443</v>
      </c>
      <c r="F28" s="7">
        <v>7</v>
      </c>
      <c r="G28" s="7">
        <v>64.669998000000007</v>
      </c>
      <c r="S28" s="77">
        <v>42586</v>
      </c>
      <c r="T28" s="69">
        <v>71.430000000000007</v>
      </c>
      <c r="U28" s="7">
        <v>68.771507423186648</v>
      </c>
    </row>
    <row r="29" spans="1:21" x14ac:dyDescent="0.3">
      <c r="A29" s="7">
        <v>5</v>
      </c>
      <c r="B29" s="7">
        <v>65.118176952889044</v>
      </c>
      <c r="C29" s="7">
        <v>-0.52818095288904487</v>
      </c>
      <c r="D29" s="7">
        <v>-0.33527463144379294</v>
      </c>
      <c r="F29" s="7">
        <v>9</v>
      </c>
      <c r="G29" s="7">
        <v>64.739998</v>
      </c>
      <c r="S29" s="77">
        <v>42587</v>
      </c>
      <c r="T29" s="69">
        <v>71.180000000000007</v>
      </c>
      <c r="U29" s="7">
        <v>70.139303707574044</v>
      </c>
    </row>
    <row r="30" spans="1:21" x14ac:dyDescent="0.3">
      <c r="A30" s="7">
        <v>6</v>
      </c>
      <c r="B30" s="7">
        <v>65.675357530694541</v>
      </c>
      <c r="C30" s="7">
        <v>-0.93535953069454081</v>
      </c>
      <c r="D30" s="7">
        <v>-0.59374030851682347</v>
      </c>
      <c r="F30" s="7">
        <v>11</v>
      </c>
      <c r="G30" s="7">
        <v>64.769997000000004</v>
      </c>
      <c r="S30" s="77">
        <v>42590</v>
      </c>
      <c r="T30" s="69">
        <v>70.5</v>
      </c>
      <c r="U30" s="7">
        <v>70.037580856735758</v>
      </c>
    </row>
    <row r="31" spans="1:21" x14ac:dyDescent="0.3">
      <c r="A31" s="7">
        <v>7</v>
      </c>
      <c r="B31" s="7">
        <v>65.512930234501425</v>
      </c>
      <c r="C31" s="7">
        <v>-0.59293223450141852</v>
      </c>
      <c r="D31" s="7">
        <v>-0.37637695056256348</v>
      </c>
      <c r="F31" s="7">
        <v>13</v>
      </c>
      <c r="G31" s="7">
        <v>64.919998000000007</v>
      </c>
      <c r="S31" s="77">
        <v>42591</v>
      </c>
      <c r="T31" s="69">
        <v>70.230002999999996</v>
      </c>
      <c r="U31" s="7">
        <v>70.064452097325017</v>
      </c>
    </row>
    <row r="32" spans="1:21" x14ac:dyDescent="0.3">
      <c r="A32" s="7">
        <v>8</v>
      </c>
      <c r="B32" s="7">
        <v>67.304904228224814</v>
      </c>
      <c r="C32" s="7">
        <v>-1.4249072282248108</v>
      </c>
      <c r="D32" s="7">
        <v>-0.9044916201001818</v>
      </c>
      <c r="F32" s="7">
        <v>15</v>
      </c>
      <c r="G32" s="7">
        <v>65.879997000000003</v>
      </c>
      <c r="S32" s="77">
        <v>42592</v>
      </c>
      <c r="T32" s="69">
        <v>70.319999999999993</v>
      </c>
      <c r="U32" s="7">
        <v>69.797358122427482</v>
      </c>
    </row>
    <row r="33" spans="1:21" x14ac:dyDescent="0.3">
      <c r="A33" s="7">
        <v>9</v>
      </c>
      <c r="B33" s="7">
        <v>67.877724821989261</v>
      </c>
      <c r="C33" s="7">
        <v>-1.4477248219892545</v>
      </c>
      <c r="D33" s="7">
        <v>-0.91897559627910907</v>
      </c>
      <c r="F33" s="7">
        <v>17</v>
      </c>
      <c r="G33" s="7">
        <v>66.430000000000007</v>
      </c>
      <c r="S33" s="77">
        <v>42593</v>
      </c>
      <c r="T33" s="69">
        <v>70.029999000000004</v>
      </c>
      <c r="U33" s="7">
        <v>70.639267797585092</v>
      </c>
    </row>
    <row r="34" spans="1:21" x14ac:dyDescent="0.3">
      <c r="A34" s="7">
        <v>10</v>
      </c>
      <c r="B34" s="7">
        <v>68.740213454610938</v>
      </c>
      <c r="C34" s="7">
        <v>-1.4302154546109449</v>
      </c>
      <c r="D34" s="7">
        <v>-0.90786113510350908</v>
      </c>
      <c r="F34" s="7">
        <v>19</v>
      </c>
      <c r="G34" s="7">
        <v>67.169998000000007</v>
      </c>
      <c r="S34" s="77">
        <v>42594</v>
      </c>
      <c r="T34" s="69">
        <v>70.150002000000001</v>
      </c>
      <c r="U34" s="7">
        <v>70.374615395122817</v>
      </c>
    </row>
    <row r="35" spans="1:21" x14ac:dyDescent="0.3">
      <c r="A35" s="7">
        <v>11</v>
      </c>
      <c r="B35" s="7">
        <v>68.9148625567816</v>
      </c>
      <c r="C35" s="7">
        <v>-1.744864556781593</v>
      </c>
      <c r="D35" s="7">
        <v>-1.1075916653078905</v>
      </c>
      <c r="F35" s="7">
        <v>21</v>
      </c>
      <c r="G35" s="7">
        <v>67.309997999999993</v>
      </c>
      <c r="S35" s="77">
        <v>42597</v>
      </c>
      <c r="T35" s="69">
        <v>70.089995999999999</v>
      </c>
      <c r="U35" s="7">
        <v>70.800216193657917</v>
      </c>
    </row>
    <row r="36" spans="1:21" x14ac:dyDescent="0.3">
      <c r="A36" s="7">
        <v>12</v>
      </c>
      <c r="B36" s="7">
        <v>69.874149035394254</v>
      </c>
      <c r="C36" s="7">
        <v>-2.5041460353942568</v>
      </c>
      <c r="D36" s="7">
        <v>-1.5895625060046701</v>
      </c>
      <c r="F36" s="7">
        <v>23</v>
      </c>
      <c r="G36" s="7">
        <v>67.370002999999997</v>
      </c>
      <c r="S36" s="77">
        <v>42598</v>
      </c>
      <c r="T36" s="69">
        <v>69.279999000000004</v>
      </c>
      <c r="U36" s="7">
        <v>70.199952342007691</v>
      </c>
    </row>
    <row r="37" spans="1:21" x14ac:dyDescent="0.3">
      <c r="A37" s="7">
        <v>13</v>
      </c>
      <c r="B37" s="7">
        <v>69.946586975096949</v>
      </c>
      <c r="C37" s="7">
        <v>-2.4365849750969488</v>
      </c>
      <c r="D37" s="7">
        <v>-1.5466766172439479</v>
      </c>
      <c r="F37" s="7">
        <v>25</v>
      </c>
      <c r="G37" s="7">
        <v>67.370002999999997</v>
      </c>
      <c r="S37" s="77">
        <v>42599</v>
      </c>
      <c r="T37" s="69">
        <v>70.209998999999996</v>
      </c>
      <c r="U37" s="7">
        <v>70.35653381387192</v>
      </c>
    </row>
    <row r="38" spans="1:21" x14ac:dyDescent="0.3">
      <c r="A38" s="7">
        <v>14</v>
      </c>
      <c r="B38" s="7">
        <v>70.064452097325017</v>
      </c>
      <c r="C38" s="7">
        <v>-2.4644540973250173</v>
      </c>
      <c r="D38" s="7">
        <v>-1.5643671636988492</v>
      </c>
      <c r="F38" s="7">
        <v>27</v>
      </c>
      <c r="G38" s="7">
        <v>67.510002</v>
      </c>
      <c r="S38" s="77">
        <v>42600</v>
      </c>
      <c r="T38" s="69">
        <v>70.319999999999993</v>
      </c>
      <c r="U38" s="7">
        <v>70.526257918338615</v>
      </c>
    </row>
    <row r="39" spans="1:21" x14ac:dyDescent="0.3">
      <c r="A39" s="7">
        <v>15</v>
      </c>
      <c r="B39" s="7">
        <v>70.24988597247301</v>
      </c>
      <c r="C39" s="7">
        <v>-2.1798859724730164</v>
      </c>
      <c r="D39" s="7">
        <v>-1.3837312042638479</v>
      </c>
      <c r="F39" s="7">
        <v>29</v>
      </c>
      <c r="G39" s="7">
        <v>67.599997999999999</v>
      </c>
      <c r="S39" s="77">
        <v>42601</v>
      </c>
      <c r="T39" s="69">
        <v>70.440002000000007</v>
      </c>
      <c r="U39" s="7">
        <v>70.203886758364405</v>
      </c>
    </row>
    <row r="40" spans="1:21" x14ac:dyDescent="0.3">
      <c r="A40" s="7">
        <v>16</v>
      </c>
      <c r="B40" s="7">
        <v>70.507185755740494</v>
      </c>
      <c r="C40" s="7">
        <v>-2.767187755740494</v>
      </c>
      <c r="D40" s="7">
        <v>-1.7565341004194961</v>
      </c>
      <c r="F40" s="7">
        <v>31</v>
      </c>
      <c r="G40" s="7">
        <v>67.739998</v>
      </c>
      <c r="S40" s="77">
        <v>42604</v>
      </c>
      <c r="T40" s="69">
        <v>70.480002999999996</v>
      </c>
      <c r="U40" s="7">
        <v>70.038515634305156</v>
      </c>
    </row>
    <row r="41" spans="1:21" x14ac:dyDescent="0.3">
      <c r="A41" s="7">
        <v>17</v>
      </c>
      <c r="B41" s="7">
        <v>69.95144221807854</v>
      </c>
      <c r="C41" s="7">
        <v>-2.5814392180785433</v>
      </c>
      <c r="D41" s="7">
        <v>-1.6386260763508649</v>
      </c>
      <c r="F41" s="7">
        <v>33</v>
      </c>
      <c r="G41" s="7">
        <v>67.790001000000004</v>
      </c>
      <c r="S41" s="77">
        <v>42605</v>
      </c>
      <c r="T41" s="69">
        <v>70.559997999999993</v>
      </c>
      <c r="U41" s="7">
        <v>70.166244702885649</v>
      </c>
    </row>
    <row r="42" spans="1:21" x14ac:dyDescent="0.3">
      <c r="A42" s="7">
        <v>18</v>
      </c>
      <c r="B42" s="7">
        <v>70.334462005343113</v>
      </c>
      <c r="C42" s="7">
        <v>-2.5444610053431092</v>
      </c>
      <c r="D42" s="7">
        <v>-1.6151533316816205</v>
      </c>
      <c r="F42" s="7">
        <v>35</v>
      </c>
      <c r="G42" s="7">
        <v>68.069999999999993</v>
      </c>
      <c r="S42" s="77">
        <v>42606</v>
      </c>
      <c r="T42" s="69">
        <v>70.279999000000004</v>
      </c>
      <c r="U42" s="7">
        <v>69.696067786584365</v>
      </c>
    </row>
    <row r="43" spans="1:21" x14ac:dyDescent="0.3">
      <c r="A43" s="7">
        <v>19</v>
      </c>
      <c r="B43" s="7">
        <v>69.778788229546848</v>
      </c>
      <c r="C43" s="7">
        <v>-1.3387862295468409</v>
      </c>
      <c r="D43" s="7">
        <v>-0.84982439680598376</v>
      </c>
      <c r="F43" s="7">
        <v>37</v>
      </c>
      <c r="G43" s="7">
        <v>68.440002000000007</v>
      </c>
      <c r="S43" s="77">
        <v>42607</v>
      </c>
      <c r="T43" s="69">
        <v>70.620002999999997</v>
      </c>
      <c r="U43" s="7">
        <v>69.459835272410686</v>
      </c>
    </row>
    <row r="44" spans="1:21" x14ac:dyDescent="0.3">
      <c r="A44" s="7">
        <v>20</v>
      </c>
      <c r="B44" s="7">
        <v>69.640846412428886</v>
      </c>
      <c r="C44" s="7">
        <v>-1.1408464124288855</v>
      </c>
      <c r="D44" s="7">
        <v>-0.72417768639494884</v>
      </c>
      <c r="F44" s="7">
        <v>39</v>
      </c>
      <c r="G44" s="7">
        <v>68.5</v>
      </c>
      <c r="S44" s="77">
        <v>42608</v>
      </c>
      <c r="T44" s="69">
        <v>70.489998</v>
      </c>
      <c r="U44" s="7">
        <v>69.081168458410247</v>
      </c>
    </row>
    <row r="45" spans="1:21" x14ac:dyDescent="0.3">
      <c r="A45" s="7">
        <v>21</v>
      </c>
      <c r="B45" s="7">
        <v>69.62955937687741</v>
      </c>
      <c r="C45" s="7">
        <v>1.2104366231225896</v>
      </c>
      <c r="D45" s="7">
        <v>0.76835162359356812</v>
      </c>
      <c r="F45" s="7">
        <v>41</v>
      </c>
      <c r="G45" s="7">
        <v>69.279999000000004</v>
      </c>
      <c r="S45" s="77">
        <v>42611</v>
      </c>
      <c r="T45" s="69">
        <v>71.099997999999999</v>
      </c>
      <c r="U45" s="7">
        <v>69.849719367240283</v>
      </c>
    </row>
    <row r="46" spans="1:21" x14ac:dyDescent="0.3">
      <c r="A46" s="7">
        <v>22</v>
      </c>
      <c r="B46" s="7">
        <v>69.516549490487591</v>
      </c>
      <c r="C46" s="7">
        <v>1.3534535095124056</v>
      </c>
      <c r="D46" s="7">
        <v>0.85913477965458807</v>
      </c>
      <c r="F46" s="7">
        <v>43</v>
      </c>
      <c r="G46" s="7">
        <v>70.029999000000004</v>
      </c>
      <c r="S46" s="77">
        <v>42612</v>
      </c>
      <c r="T46" s="69">
        <v>71.339995999999999</v>
      </c>
      <c r="U46" s="7">
        <v>69.501914013963699</v>
      </c>
    </row>
    <row r="47" spans="1:21" x14ac:dyDescent="0.3">
      <c r="A47" s="7">
        <v>23</v>
      </c>
      <c r="B47" s="7">
        <v>69.344328009807754</v>
      </c>
      <c r="C47" s="7">
        <v>1.4156739901922464</v>
      </c>
      <c r="D47" s="7">
        <v>0.898630616477336</v>
      </c>
      <c r="F47" s="7">
        <v>45</v>
      </c>
      <c r="G47" s="7">
        <v>70.089995999999999</v>
      </c>
      <c r="S47" s="77">
        <v>42613</v>
      </c>
      <c r="T47" s="69">
        <v>71.209998999999996</v>
      </c>
      <c r="U47" s="7">
        <v>69.12031730875492</v>
      </c>
    </row>
    <row r="48" spans="1:21" x14ac:dyDescent="0.3">
      <c r="A48" s="7">
        <v>24</v>
      </c>
      <c r="B48" s="7">
        <v>69.146239827973659</v>
      </c>
      <c r="C48" s="7">
        <v>2.2737581720263478</v>
      </c>
      <c r="D48" s="7">
        <v>1.443318675065115</v>
      </c>
      <c r="F48" s="7">
        <v>47</v>
      </c>
      <c r="G48" s="7">
        <v>70.150002000000001</v>
      </c>
      <c r="S48" s="77">
        <v>42614</v>
      </c>
      <c r="T48" s="69">
        <v>71.639999000000003</v>
      </c>
      <c r="U48" s="7">
        <v>69.251897088025345</v>
      </c>
    </row>
    <row r="49" spans="1:21" x14ac:dyDescent="0.3">
      <c r="A49" s="7">
        <v>25</v>
      </c>
      <c r="B49" s="7">
        <v>68.498051410441548</v>
      </c>
      <c r="C49" s="7">
        <v>2.7019455895584485</v>
      </c>
      <c r="D49" s="7">
        <v>1.7151201813797554</v>
      </c>
      <c r="F49" s="7">
        <v>49</v>
      </c>
      <c r="G49" s="7">
        <v>70.209998999999996</v>
      </c>
      <c r="S49" s="77">
        <v>42615</v>
      </c>
      <c r="T49" s="69">
        <v>71.669998000000007</v>
      </c>
      <c r="U49" s="7">
        <v>69.770933347777884</v>
      </c>
    </row>
    <row r="50" spans="1:21" x14ac:dyDescent="0.3">
      <c r="A50" s="7">
        <v>26</v>
      </c>
      <c r="B50" s="7">
        <v>68.792574699423739</v>
      </c>
      <c r="C50" s="7">
        <v>2.7374243005762651</v>
      </c>
      <c r="D50" s="7">
        <v>1.7376410839142664</v>
      </c>
      <c r="F50" s="7">
        <v>51</v>
      </c>
      <c r="G50" s="7">
        <v>70.230002999999996</v>
      </c>
      <c r="S50" s="77">
        <v>42619</v>
      </c>
      <c r="T50" s="69">
        <v>71.5</v>
      </c>
      <c r="U50" s="7">
        <v>70.100657119803543</v>
      </c>
    </row>
    <row r="51" spans="1:21" ht="15" thickBot="1" x14ac:dyDescent="0.35">
      <c r="A51" s="7">
        <v>27</v>
      </c>
      <c r="B51" s="7">
        <v>68.771507423186648</v>
      </c>
      <c r="C51" s="7">
        <v>2.6584925768133587</v>
      </c>
      <c r="D51" s="7">
        <v>1.6875374131001637</v>
      </c>
      <c r="F51" s="7">
        <v>53</v>
      </c>
      <c r="G51" s="7">
        <v>70.279999000000004</v>
      </c>
      <c r="S51" s="77">
        <v>42620</v>
      </c>
      <c r="T51" s="69">
        <v>70.900002000000001</v>
      </c>
      <c r="U51" s="8">
        <v>70.015090498442873</v>
      </c>
    </row>
    <row r="52" spans="1:21" x14ac:dyDescent="0.3">
      <c r="A52" s="7">
        <v>28</v>
      </c>
      <c r="B52" s="7">
        <v>70.139303707574044</v>
      </c>
      <c r="C52" s="7">
        <v>1.0406962924259631</v>
      </c>
      <c r="D52" s="7">
        <v>0.66060516567195116</v>
      </c>
      <c r="F52" s="7">
        <v>55</v>
      </c>
      <c r="G52" s="7">
        <v>70.319999999999993</v>
      </c>
    </row>
    <row r="53" spans="1:21" x14ac:dyDescent="0.3">
      <c r="A53" s="7">
        <v>29</v>
      </c>
      <c r="B53" s="7">
        <v>70.037580856735758</v>
      </c>
      <c r="C53" s="7">
        <v>0.46241914326424194</v>
      </c>
      <c r="D53" s="7">
        <v>0.29353085714744048</v>
      </c>
      <c r="F53" s="7">
        <v>57</v>
      </c>
      <c r="G53" s="7">
        <v>70.319999999999993</v>
      </c>
    </row>
    <row r="54" spans="1:21" x14ac:dyDescent="0.3">
      <c r="A54" s="7">
        <v>30</v>
      </c>
      <c r="B54" s="7">
        <v>70.064452097325017</v>
      </c>
      <c r="C54" s="7">
        <v>0.16555090267497974</v>
      </c>
      <c r="D54" s="7">
        <v>0.10508712511486763</v>
      </c>
      <c r="F54" s="7">
        <v>59</v>
      </c>
      <c r="G54" s="7">
        <v>70.440002000000007</v>
      </c>
    </row>
    <row r="55" spans="1:21" x14ac:dyDescent="0.3">
      <c r="A55" s="7">
        <v>31</v>
      </c>
      <c r="B55" s="7">
        <v>69.797358122427482</v>
      </c>
      <c r="C55" s="7">
        <v>0.52264187757251079</v>
      </c>
      <c r="D55" s="7">
        <v>0.33175857993695168</v>
      </c>
      <c r="F55" s="7">
        <v>61</v>
      </c>
      <c r="G55" s="7">
        <v>70.480002999999996</v>
      </c>
    </row>
    <row r="56" spans="1:21" x14ac:dyDescent="0.3">
      <c r="A56" s="7">
        <v>32</v>
      </c>
      <c r="B56" s="7">
        <v>70.639267797585092</v>
      </c>
      <c r="C56" s="7">
        <v>-0.6092687975850879</v>
      </c>
      <c r="D56" s="7">
        <v>-0.38674694807378784</v>
      </c>
      <c r="F56" s="7">
        <v>63</v>
      </c>
      <c r="G56" s="7">
        <v>70.489998</v>
      </c>
    </row>
    <row r="57" spans="1:21" x14ac:dyDescent="0.3">
      <c r="A57" s="7">
        <v>33</v>
      </c>
      <c r="B57" s="7">
        <v>70.374615395122817</v>
      </c>
      <c r="C57" s="7">
        <v>-0.22461339512281597</v>
      </c>
      <c r="D57" s="7">
        <v>-0.14257835852509618</v>
      </c>
      <c r="F57" s="7">
        <v>65</v>
      </c>
      <c r="G57" s="7">
        <v>70.5</v>
      </c>
    </row>
    <row r="58" spans="1:21" x14ac:dyDescent="0.3">
      <c r="A58" s="7">
        <v>34</v>
      </c>
      <c r="B58" s="7">
        <v>70.800216193657917</v>
      </c>
      <c r="C58" s="7">
        <v>-0.71022019365791778</v>
      </c>
      <c r="D58" s="7">
        <v>-0.45082809664024237</v>
      </c>
      <c r="F58" s="7">
        <v>67</v>
      </c>
      <c r="G58" s="7">
        <v>70.559997999999993</v>
      </c>
    </row>
    <row r="59" spans="1:21" x14ac:dyDescent="0.3">
      <c r="A59" s="7">
        <v>35</v>
      </c>
      <c r="B59" s="7">
        <v>70.199952342007691</v>
      </c>
      <c r="C59" s="7">
        <v>-0.91995334200768752</v>
      </c>
      <c r="D59" s="7">
        <v>-0.5839608868892826</v>
      </c>
      <c r="F59" s="7">
        <v>69</v>
      </c>
      <c r="G59" s="7">
        <v>70.620002999999997</v>
      </c>
    </row>
    <row r="60" spans="1:21" x14ac:dyDescent="0.3">
      <c r="A60" s="7">
        <v>36</v>
      </c>
      <c r="B60" s="7">
        <v>70.35653381387192</v>
      </c>
      <c r="C60" s="7">
        <v>-0.14653481387192357</v>
      </c>
      <c r="D60" s="7">
        <v>-9.3016238934527817E-2</v>
      </c>
      <c r="F60" s="7">
        <v>71</v>
      </c>
      <c r="G60" s="7">
        <v>70.760002</v>
      </c>
    </row>
    <row r="61" spans="1:21" x14ac:dyDescent="0.3">
      <c r="A61" s="7">
        <v>37</v>
      </c>
      <c r="B61" s="7">
        <v>70.526257918338615</v>
      </c>
      <c r="C61" s="7">
        <v>-0.20625791833862195</v>
      </c>
      <c r="D61" s="7">
        <v>-0.1309268105468249</v>
      </c>
      <c r="F61" s="7">
        <v>73</v>
      </c>
      <c r="G61" s="7">
        <v>70.839995999999999</v>
      </c>
    </row>
    <row r="62" spans="1:21" x14ac:dyDescent="0.3">
      <c r="A62" s="7">
        <v>38</v>
      </c>
      <c r="B62" s="7">
        <v>70.203886758364405</v>
      </c>
      <c r="C62" s="7">
        <v>0.23611524163560205</v>
      </c>
      <c r="D62" s="7">
        <v>0.14987941194136262</v>
      </c>
      <c r="F62" s="7">
        <v>75</v>
      </c>
      <c r="G62" s="7">
        <v>70.870002999999997</v>
      </c>
    </row>
    <row r="63" spans="1:21" x14ac:dyDescent="0.3">
      <c r="A63" s="7">
        <v>39</v>
      </c>
      <c r="B63" s="7">
        <v>70.038515634305156</v>
      </c>
      <c r="C63" s="7">
        <v>0.44148736569484015</v>
      </c>
      <c r="D63" s="7">
        <v>0.28024394482760356</v>
      </c>
      <c r="F63" s="7">
        <v>77</v>
      </c>
      <c r="G63" s="7">
        <v>70.900002000000001</v>
      </c>
    </row>
    <row r="64" spans="1:21" x14ac:dyDescent="0.3">
      <c r="A64" s="7">
        <v>40</v>
      </c>
      <c r="B64" s="7">
        <v>70.166244702885649</v>
      </c>
      <c r="C64" s="7">
        <v>0.39375329711434404</v>
      </c>
      <c r="D64" s="7">
        <v>0.24994368094436478</v>
      </c>
      <c r="F64" s="7">
        <v>79</v>
      </c>
      <c r="G64" s="7">
        <v>71.099997999999999</v>
      </c>
    </row>
    <row r="65" spans="1:7" x14ac:dyDescent="0.3">
      <c r="A65" s="7">
        <v>41</v>
      </c>
      <c r="B65" s="7">
        <v>69.696067786584365</v>
      </c>
      <c r="C65" s="7">
        <v>0.58393121341563869</v>
      </c>
      <c r="D65" s="7">
        <v>0.37066335182212085</v>
      </c>
      <c r="F65" s="7">
        <v>81</v>
      </c>
      <c r="G65" s="7">
        <v>71.180000000000007</v>
      </c>
    </row>
    <row r="66" spans="1:7" x14ac:dyDescent="0.3">
      <c r="A66" s="7">
        <v>42</v>
      </c>
      <c r="B66" s="7">
        <v>69.459835272410686</v>
      </c>
      <c r="C66" s="7">
        <v>1.160167727589311</v>
      </c>
      <c r="D66" s="7">
        <v>0.73644232180822522</v>
      </c>
      <c r="F66" s="7">
        <v>83</v>
      </c>
      <c r="G66" s="7">
        <v>71.199996999999996</v>
      </c>
    </row>
    <row r="67" spans="1:7" x14ac:dyDescent="0.3">
      <c r="A67" s="7">
        <v>43</v>
      </c>
      <c r="B67" s="7">
        <v>69.081168458410247</v>
      </c>
      <c r="C67" s="7">
        <v>1.4088295415897534</v>
      </c>
      <c r="D67" s="7">
        <v>0.89428595018430723</v>
      </c>
      <c r="F67" s="7">
        <v>85</v>
      </c>
      <c r="G67" s="7">
        <v>71.209998999999996</v>
      </c>
    </row>
    <row r="68" spans="1:7" x14ac:dyDescent="0.3">
      <c r="A68" s="7">
        <v>44</v>
      </c>
      <c r="B68" s="7">
        <v>69.849719367240283</v>
      </c>
      <c r="C68" s="7">
        <v>1.2502786327597164</v>
      </c>
      <c r="D68" s="7">
        <v>0.79364222717175859</v>
      </c>
      <c r="F68" s="7">
        <v>87</v>
      </c>
      <c r="G68" s="7">
        <v>71.339995999999999</v>
      </c>
    </row>
    <row r="69" spans="1:7" x14ac:dyDescent="0.3">
      <c r="A69" s="7">
        <v>45</v>
      </c>
      <c r="B69" s="7">
        <v>69.501914013963699</v>
      </c>
      <c r="C69" s="7">
        <v>1.8380819860363005</v>
      </c>
      <c r="D69" s="7">
        <v>1.166763506069205</v>
      </c>
      <c r="F69" s="7">
        <v>89</v>
      </c>
      <c r="G69" s="7">
        <v>71.419998000000007</v>
      </c>
    </row>
    <row r="70" spans="1:7" x14ac:dyDescent="0.3">
      <c r="A70" s="7">
        <v>46</v>
      </c>
      <c r="B70" s="7">
        <v>69.12031730875492</v>
      </c>
      <c r="C70" s="7">
        <v>2.089681691245076</v>
      </c>
      <c r="D70" s="7">
        <v>1.3264720263667169</v>
      </c>
      <c r="F70" s="7">
        <v>91</v>
      </c>
      <c r="G70" s="7">
        <v>71.430000000000007</v>
      </c>
    </row>
    <row r="71" spans="1:7" x14ac:dyDescent="0.3">
      <c r="A71" s="7">
        <v>47</v>
      </c>
      <c r="B71" s="7">
        <v>69.251897088025345</v>
      </c>
      <c r="C71" s="7">
        <v>2.3881019119746583</v>
      </c>
      <c r="D71" s="7">
        <v>1.5159009123824232</v>
      </c>
      <c r="F71" s="7">
        <v>93</v>
      </c>
      <c r="G71" s="7">
        <v>71.5</v>
      </c>
    </row>
    <row r="72" spans="1:7" x14ac:dyDescent="0.3">
      <c r="A72" s="7">
        <v>48</v>
      </c>
      <c r="B72" s="7">
        <v>69.770933347777884</v>
      </c>
      <c r="C72" s="7">
        <v>1.8990646522221226</v>
      </c>
      <c r="D72" s="7">
        <v>1.2054736125546361</v>
      </c>
      <c r="F72" s="7">
        <v>95</v>
      </c>
      <c r="G72" s="7">
        <v>71.529999000000004</v>
      </c>
    </row>
    <row r="73" spans="1:7" x14ac:dyDescent="0.3">
      <c r="A73" s="7">
        <v>49</v>
      </c>
      <c r="B73" s="7">
        <v>70.100657119803543</v>
      </c>
      <c r="C73" s="7">
        <v>1.3993428801964569</v>
      </c>
      <c r="D73" s="7">
        <v>0.88826408043517668</v>
      </c>
      <c r="F73" s="7">
        <v>97</v>
      </c>
      <c r="G73" s="7">
        <v>71.639999000000003</v>
      </c>
    </row>
    <row r="74" spans="1:7" ht="15" thickBot="1" x14ac:dyDescent="0.35">
      <c r="A74" s="8">
        <v>50</v>
      </c>
      <c r="B74" s="8">
        <v>70.015090498442873</v>
      </c>
      <c r="C74" s="8">
        <v>0.88491150155712717</v>
      </c>
      <c r="D74" s="8">
        <v>0.56171729768389556</v>
      </c>
      <c r="F74" s="8">
        <v>99</v>
      </c>
      <c r="G74" s="8">
        <v>71.669998000000007</v>
      </c>
    </row>
  </sheetData>
  <sortState ref="G25:G74">
    <sortCondition ref="G25"/>
  </sortState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workbookViewId="0">
      <selection activeCell="S11" sqref="S11"/>
    </sheetView>
  </sheetViews>
  <sheetFormatPr defaultRowHeight="14.4" x14ac:dyDescent="0.3"/>
  <sheetData>
    <row r="1" spans="1:8" x14ac:dyDescent="0.3">
      <c r="B1" s="31" t="s">
        <v>150</v>
      </c>
      <c r="C1" s="31"/>
      <c r="D1" s="31"/>
      <c r="E1" s="31"/>
      <c r="F1" s="31"/>
      <c r="G1" s="31"/>
      <c r="H1" s="31"/>
    </row>
    <row r="2" spans="1:8" x14ac:dyDescent="0.3">
      <c r="A2" s="86" t="s">
        <v>154</v>
      </c>
      <c r="B2" s="86" t="s">
        <v>3</v>
      </c>
      <c r="C2" s="87" t="s">
        <v>155</v>
      </c>
      <c r="D2" s="88" t="s">
        <v>156</v>
      </c>
      <c r="E2" s="70" t="s">
        <v>157</v>
      </c>
      <c r="F2" s="89" t="s">
        <v>158</v>
      </c>
      <c r="G2" s="90" t="s">
        <v>159</v>
      </c>
    </row>
    <row r="3" spans="1:8" ht="15" x14ac:dyDescent="0.35">
      <c r="A3">
        <v>1</v>
      </c>
      <c r="B3" s="7">
        <v>0.55987541455101564</v>
      </c>
      <c r="C3" s="91">
        <f>B3-(AVERAGE($B$3:$B$52))</f>
        <v>0.55987541455097212</v>
      </c>
      <c r="D3" s="85">
        <f>SUMPRODUCT($C$3:INDEX($C$3:$C$52,ROWS(C4:C$52)),C4:$C$52)/DEVSQ($C$3:$C$52)</f>
        <v>0.91160127617098352</v>
      </c>
      <c r="E3" s="36">
        <f>1/SQRT(COUNT($C$3:$C$52))</f>
        <v>0.14285714285714285</v>
      </c>
      <c r="F3" s="36">
        <f>-E3</f>
        <v>-0.14285714285714285</v>
      </c>
      <c r="G3" s="36">
        <f>E3</f>
        <v>0.14285714285714285</v>
      </c>
      <c r="H3" s="78"/>
    </row>
    <row r="4" spans="1:8" ht="15" x14ac:dyDescent="0.35">
      <c r="A4">
        <v>2</v>
      </c>
      <c r="B4" s="7">
        <v>1.4314287459114894E-2</v>
      </c>
      <c r="C4" s="91">
        <f t="shared" ref="C4:C7" si="0">B4-(AVERAGE($B$3:$B$52))</f>
        <v>1.4314287459071408E-2</v>
      </c>
      <c r="D4" s="85">
        <f>SUMPRODUCT($C$3:INDEX($C$3:$C$52,ROWS(C5:C$52)),C5:$C$52)/DEVSQ($C$3:$C$52)</f>
        <v>0.80421232761147698</v>
      </c>
      <c r="E4" s="36">
        <f>SQRT((1/COUNT($C$3:$C$52))*(1+2*SUMSQ($D$3)))</f>
        <v>0.23308200244974359</v>
      </c>
      <c r="F4" s="36">
        <f t="shared" ref="F4:F7" si="1">-E4</f>
        <v>-0.23308200244974359</v>
      </c>
      <c r="G4" s="36">
        <f t="shared" ref="G4:G7" si="2">E4</f>
        <v>0.23308200244974359</v>
      </c>
      <c r="H4" s="78"/>
    </row>
    <row r="5" spans="1:8" ht="15" x14ac:dyDescent="0.35">
      <c r="A5">
        <v>3</v>
      </c>
      <c r="B5" s="7">
        <v>-1.0865871225922348</v>
      </c>
      <c r="C5" s="91">
        <f t="shared" si="0"/>
        <v>-1.0865871225922783</v>
      </c>
      <c r="D5" s="85">
        <f>SUMPRODUCT($C$3:INDEX($C$3:$C$52,ROWS(C6:C$52)),C6:$C$52)/DEVSQ($C$3:$C$52)</f>
        <v>0.65922117041455042</v>
      </c>
      <c r="E5" s="36">
        <f>SQRT((1/COUNT($C$3:$C$52))*(1+2*SUMSQ($D$3:D4)))</f>
        <v>0.28412230440635411</v>
      </c>
      <c r="F5" s="36">
        <f t="shared" si="1"/>
        <v>-0.28412230440635411</v>
      </c>
      <c r="G5" s="36">
        <f t="shared" si="2"/>
        <v>0.28412230440635411</v>
      </c>
      <c r="H5" s="78"/>
    </row>
    <row r="6" spans="1:8" ht="15" x14ac:dyDescent="0.35">
      <c r="A6">
        <v>4</v>
      </c>
      <c r="B6" s="7">
        <v>-1.1250182584832515</v>
      </c>
      <c r="C6" s="91">
        <f t="shared" si="0"/>
        <v>-1.1250182584832951</v>
      </c>
      <c r="D6" s="85">
        <f>SUMPRODUCT($C$3:INDEX($C$3:$C$52,ROWS(C7:C$52)),C7:$C$52)/DEVSQ($C$3:$C$52)</f>
        <v>0.50864311672119766</v>
      </c>
      <c r="E6" s="36">
        <f>SQRT((1/COUNT($C$3:$C$52))*(1+2*SUMSQ($D$3:D5)))</f>
        <v>0.3137883666189204</v>
      </c>
      <c r="F6" s="36">
        <f t="shared" si="1"/>
        <v>-0.3137883666189204</v>
      </c>
      <c r="G6" s="36">
        <f t="shared" si="2"/>
        <v>0.3137883666189204</v>
      </c>
      <c r="H6" s="78"/>
    </row>
    <row r="7" spans="1:8" ht="15" x14ac:dyDescent="0.35">
      <c r="A7">
        <v>5</v>
      </c>
      <c r="B7" s="7">
        <v>-0.52818095288904487</v>
      </c>
      <c r="C7" s="91">
        <f t="shared" si="0"/>
        <v>-0.5281809528890884</v>
      </c>
      <c r="D7" s="85">
        <f>SUMPRODUCT($C$3:INDEX($C$3:$C$52,ROWS(C8:C$52)),C8:$C$52)/DEVSQ($C$3:$C$52)</f>
        <v>0.34253434901784885</v>
      </c>
      <c r="E7" s="36">
        <f>SQRT((1/COUNT($C$3:$C$52))*(1+2*SUMSQ($D$3:D6)))</f>
        <v>0.33018638683847285</v>
      </c>
      <c r="F7" s="36">
        <f t="shared" si="1"/>
        <v>-0.33018638683847285</v>
      </c>
      <c r="G7" s="36">
        <f t="shared" si="2"/>
        <v>0.33018638683847285</v>
      </c>
      <c r="H7" s="78"/>
    </row>
    <row r="8" spans="1:8" ht="15" x14ac:dyDescent="0.35">
      <c r="A8">
        <v>6</v>
      </c>
      <c r="B8" s="7">
        <v>-0.93535953069454081</v>
      </c>
      <c r="C8" s="91">
        <f t="shared" ref="C8:C51" si="3">B8-(AVERAGE($B$3:$B$52))</f>
        <v>-0.93535953069458433</v>
      </c>
      <c r="D8" s="85">
        <f>SUMPRODUCT($C$3:INDEX($C$3:$C$52,ROWS(C9:C$52)),C9:$C$52)/DEVSQ($C$3:$C$52)</f>
        <v>0.18239888051748349</v>
      </c>
      <c r="E8" s="36">
        <f>SQRT((1/COUNT($C$3:$C$52))*(1+2*SUMSQ($D$3:D7)))</f>
        <v>0.33736037211887182</v>
      </c>
      <c r="F8" s="36">
        <f t="shared" ref="F8:F20" si="4">-E8</f>
        <v>-0.33736037211887182</v>
      </c>
      <c r="G8" s="36">
        <f t="shared" ref="G8:G20" si="5">E8</f>
        <v>0.33736037211887182</v>
      </c>
      <c r="H8" s="78"/>
    </row>
    <row r="9" spans="1:8" ht="15" x14ac:dyDescent="0.35">
      <c r="A9">
        <v>7</v>
      </c>
      <c r="B9" s="7">
        <v>-0.59293223450141852</v>
      </c>
      <c r="C9" s="91">
        <f t="shared" si="3"/>
        <v>-0.59293223450146204</v>
      </c>
      <c r="D9" s="85">
        <f>SUMPRODUCT($C$3:INDEX($C$3:$C$52,ROWS(C10:C$52)),C10:$C$52)/DEVSQ($C$3:$C$52)</f>
        <v>6.5671648072347663E-3</v>
      </c>
      <c r="E9" s="36">
        <f>SQRT((1/COUNT($C$3:$C$52))*(1+2*SUMSQ($D$3:D8)))</f>
        <v>0.33936698925370407</v>
      </c>
      <c r="F9" s="36">
        <f t="shared" si="4"/>
        <v>-0.33936698925370407</v>
      </c>
      <c r="G9" s="36">
        <f t="shared" si="5"/>
        <v>0.33936698925370407</v>
      </c>
      <c r="H9" s="78"/>
    </row>
    <row r="10" spans="1:8" ht="15" x14ac:dyDescent="0.35">
      <c r="A10">
        <v>8</v>
      </c>
      <c r="B10" s="7">
        <v>-1.4249072282248108</v>
      </c>
      <c r="C10" s="91">
        <f t="shared" si="3"/>
        <v>-1.4249072282248543</v>
      </c>
      <c r="D10" s="85">
        <f>SUMPRODUCT($C$3:INDEX($C$3:$C$52,ROWS(C11:C$52)),C11:$C$52)/DEVSQ($C$3:$C$52)</f>
        <v>-0.11462533124883009</v>
      </c>
      <c r="E10" s="36">
        <f>SQRT((1/COUNT($C$3:$C$52))*(1+2*SUMSQ($D$3:D9)))</f>
        <v>0.33936958276710033</v>
      </c>
      <c r="F10" s="36">
        <f t="shared" si="4"/>
        <v>-0.33936958276710033</v>
      </c>
      <c r="G10" s="36">
        <f t="shared" si="5"/>
        <v>0.33936958276710033</v>
      </c>
      <c r="H10" s="78"/>
    </row>
    <row r="11" spans="1:8" ht="15" x14ac:dyDescent="0.35">
      <c r="A11">
        <v>9</v>
      </c>
      <c r="B11" s="7">
        <v>-1.4477248219892545</v>
      </c>
      <c r="C11" s="91">
        <f t="shared" si="3"/>
        <v>-1.447724821989298</v>
      </c>
      <c r="D11" s="85">
        <f>SUMPRODUCT($C$3:INDEX($C$3:$C$52,ROWS(C12:C$52)),C12:$C$52)/DEVSQ($C$3:$C$52)</f>
        <v>-0.19659844007809493</v>
      </c>
      <c r="E11" s="36">
        <f>SQRT((1/COUNT($C$3:$C$52))*(1+2*SUMSQ($D$3:D10)))</f>
        <v>0.34015878359534224</v>
      </c>
      <c r="F11" s="36">
        <f t="shared" si="4"/>
        <v>-0.34015878359534224</v>
      </c>
      <c r="G11" s="36">
        <f t="shared" si="5"/>
        <v>0.34015878359534224</v>
      </c>
      <c r="H11" s="78"/>
    </row>
    <row r="12" spans="1:8" ht="15" x14ac:dyDescent="0.35">
      <c r="A12">
        <v>10</v>
      </c>
      <c r="B12" s="7">
        <v>-1.4302154546109449</v>
      </c>
      <c r="C12" s="91">
        <f t="shared" si="3"/>
        <v>-1.4302154546109884</v>
      </c>
      <c r="D12" s="85">
        <f>SUMPRODUCT($C$3:INDEX($C$3:$C$52,ROWS(C13:C$52)),C13:$C$52)/DEVSQ($C$3:$C$52)</f>
        <v>-0.24451322086469782</v>
      </c>
      <c r="E12" s="36">
        <f>SQRT((1/COUNT($C$3:$C$52))*(1+2*SUMSQ($D$3:D11)))</f>
        <v>0.3424698347532012</v>
      </c>
      <c r="F12" s="36">
        <f t="shared" si="4"/>
        <v>-0.3424698347532012</v>
      </c>
      <c r="G12" s="36">
        <f t="shared" si="5"/>
        <v>0.3424698347532012</v>
      </c>
      <c r="H12" s="78"/>
    </row>
    <row r="13" spans="1:8" ht="15" x14ac:dyDescent="0.35">
      <c r="A13">
        <v>11</v>
      </c>
      <c r="B13" s="7">
        <v>-1.744864556781593</v>
      </c>
      <c r="C13" s="91">
        <f t="shared" si="3"/>
        <v>-1.7448645567816365</v>
      </c>
      <c r="D13" s="85">
        <f>SUMPRODUCT($C$3:INDEX($C$3:$C$52,ROWS(C14:C$52)),C14:$C$52)/DEVSQ($C$3:$C$52)</f>
        <v>-0.27406545426108986</v>
      </c>
      <c r="E13" s="36">
        <f>SQRT((1/COUNT($C$3:$C$52))*(1+2*SUMSQ($D$3:D12)))</f>
        <v>0.3460142508694804</v>
      </c>
      <c r="F13" s="36">
        <f t="shared" si="4"/>
        <v>-0.3460142508694804</v>
      </c>
      <c r="G13" s="36">
        <f t="shared" si="5"/>
        <v>0.3460142508694804</v>
      </c>
      <c r="H13" s="78"/>
    </row>
    <row r="14" spans="1:8" ht="15" x14ac:dyDescent="0.35">
      <c r="A14">
        <v>12</v>
      </c>
      <c r="B14" s="7">
        <v>-2.5041460353942568</v>
      </c>
      <c r="C14" s="91">
        <f t="shared" si="3"/>
        <v>-2.5041460353943004</v>
      </c>
      <c r="D14" s="85">
        <f>SUMPRODUCT($C$3:INDEX($C$3:$C$52,ROWS(C15:C$52)),C15:$C$52)/DEVSQ($C$3:$C$52)</f>
        <v>-0.25372092982437983</v>
      </c>
      <c r="E14" s="36">
        <f>SQRT((1/COUNT($C$3:$C$52))*(1+2*SUMSQ($D$3:D13)))</f>
        <v>0.35041639880064707</v>
      </c>
      <c r="F14" s="36">
        <f t="shared" si="4"/>
        <v>-0.35041639880064707</v>
      </c>
      <c r="G14" s="36">
        <f t="shared" si="5"/>
        <v>0.35041639880064707</v>
      </c>
      <c r="H14" s="78"/>
    </row>
    <row r="15" spans="1:8" ht="15" x14ac:dyDescent="0.35">
      <c r="A15">
        <v>13</v>
      </c>
      <c r="B15" s="7">
        <v>-2.4365849750969488</v>
      </c>
      <c r="C15" s="91">
        <f t="shared" si="3"/>
        <v>-2.4365849750969923</v>
      </c>
      <c r="D15" s="85">
        <f>SUMPRODUCT($C$3:INDEX($C$3:$C$52,ROWS(C16:C$52)),C16:$C$52)/DEVSQ($C$3:$C$52)</f>
        <v>-0.24186603341720653</v>
      </c>
      <c r="E15" s="36">
        <f>SQRT((1/COUNT($C$3:$C$52))*(1+2*SUMSQ($D$3:D14)))</f>
        <v>0.3541456980043432</v>
      </c>
      <c r="F15" s="36">
        <f t="shared" si="4"/>
        <v>-0.3541456980043432</v>
      </c>
      <c r="G15" s="36">
        <f t="shared" si="5"/>
        <v>0.3541456980043432</v>
      </c>
      <c r="H15" s="78"/>
    </row>
    <row r="16" spans="1:8" ht="15" x14ac:dyDescent="0.35">
      <c r="A16">
        <v>14</v>
      </c>
      <c r="B16" s="7">
        <v>-2.4644540973250173</v>
      </c>
      <c r="C16" s="91">
        <f t="shared" si="3"/>
        <v>-2.4644540973250608</v>
      </c>
      <c r="D16" s="85">
        <f>SUMPRODUCT($C$3:INDEX($C$3:$C$52,ROWS(C17:C$52)),C17:$C$52)/DEVSQ($C$3:$C$52)</f>
        <v>-0.17544312578553867</v>
      </c>
      <c r="E16" s="36">
        <f>SQRT((1/COUNT($C$3:$C$52))*(1+2*SUMSQ($D$3:D15)))</f>
        <v>0.35750090485331859</v>
      </c>
      <c r="F16" s="36">
        <f t="shared" si="4"/>
        <v>-0.35750090485331859</v>
      </c>
      <c r="G16" s="36">
        <f t="shared" si="5"/>
        <v>0.35750090485331859</v>
      </c>
      <c r="H16" s="78"/>
    </row>
    <row r="17" spans="1:8" ht="15" x14ac:dyDescent="0.35">
      <c r="A17">
        <v>15</v>
      </c>
      <c r="B17" s="7">
        <v>-2.1798859724730164</v>
      </c>
      <c r="C17" s="91">
        <f t="shared" si="3"/>
        <v>-2.1798859724730599</v>
      </c>
      <c r="D17" s="85">
        <f>SUMPRODUCT($C$3:INDEX($C$3:$C$52,ROWS(C18:C$52)),C18:$C$52)/DEVSQ($C$3:$C$52)</f>
        <v>-0.1109083921348735</v>
      </c>
      <c r="E17" s="36">
        <f>SQRT((1/COUNT($C$3:$C$52))*(1+2*SUMSQ($D$3:D16)))</f>
        <v>0.35925372002808698</v>
      </c>
      <c r="F17" s="36">
        <f t="shared" si="4"/>
        <v>-0.35925372002808698</v>
      </c>
      <c r="G17" s="36">
        <f t="shared" si="5"/>
        <v>0.35925372002808698</v>
      </c>
      <c r="H17" s="78"/>
    </row>
    <row r="18" spans="1:8" ht="15" x14ac:dyDescent="0.35">
      <c r="A18">
        <v>16</v>
      </c>
      <c r="B18" s="7">
        <v>-2.767187755740494</v>
      </c>
      <c r="C18" s="91">
        <f t="shared" si="3"/>
        <v>-2.7671877557405375</v>
      </c>
      <c r="D18" s="85">
        <f>SUMPRODUCT($C$3:INDEX($C$3:$C$52,ROWS(C19:C$52)),C19:$C$52)/DEVSQ($C$3:$C$52)</f>
        <v>-3.8399045410953028E-2</v>
      </c>
      <c r="E18" s="36">
        <f>SQRT((1/COUNT($C$3:$C$52))*(1+2*SUMSQ($D$3:D17)))</f>
        <v>0.35995180729689702</v>
      </c>
      <c r="F18" s="36">
        <f t="shared" si="4"/>
        <v>-0.35995180729689702</v>
      </c>
      <c r="G18" s="36">
        <f t="shared" si="5"/>
        <v>0.35995180729689702</v>
      </c>
      <c r="H18" s="78"/>
    </row>
    <row r="19" spans="1:8" ht="15" x14ac:dyDescent="0.35">
      <c r="A19">
        <v>17</v>
      </c>
      <c r="B19" s="7">
        <v>-2.5814392180785433</v>
      </c>
      <c r="C19" s="91">
        <f t="shared" si="3"/>
        <v>-2.5814392180785868</v>
      </c>
      <c r="D19" s="85">
        <f>SUMPRODUCT($C$3:INDEX($C$3:$C$52,ROWS(C20:C$52)),C20:$C$52)/DEVSQ($C$3:$C$52)</f>
        <v>1.5063866015193354E-2</v>
      </c>
      <c r="E19" s="36">
        <f>SQRT((1/COUNT($C$3:$C$52))*(1+2*SUMSQ($D$3:D18)))</f>
        <v>0.36003539646324251</v>
      </c>
      <c r="F19" s="36">
        <f t="shared" si="4"/>
        <v>-0.36003539646324251</v>
      </c>
      <c r="G19" s="36">
        <f t="shared" si="5"/>
        <v>0.36003539646324251</v>
      </c>
      <c r="H19" s="78"/>
    </row>
    <row r="20" spans="1:8" ht="15" x14ac:dyDescent="0.35">
      <c r="A20">
        <v>18</v>
      </c>
      <c r="B20" s="7">
        <v>-2.5444610053431092</v>
      </c>
      <c r="C20" s="91">
        <f t="shared" si="3"/>
        <v>-2.5444610053431527</v>
      </c>
      <c r="D20" s="85">
        <f>SUMPRODUCT($C$3:INDEX($C$3:$C$52,ROWS(C21:C$52)),C21:$C$52)/DEVSQ($C$3:$C$52)</f>
        <v>6.5146166513043918E-2</v>
      </c>
      <c r="E20" s="36">
        <f>SQRT((1/COUNT($C$3:$C$52))*(1+2*SUMSQ($D$3:D19)))</f>
        <v>0.36004825891772058</v>
      </c>
      <c r="F20" s="36">
        <f t="shared" si="4"/>
        <v>-0.36004825891772058</v>
      </c>
      <c r="G20" s="36">
        <f t="shared" si="5"/>
        <v>0.36004825891772058</v>
      </c>
      <c r="H20" s="78"/>
    </row>
    <row r="21" spans="1:8" ht="15" x14ac:dyDescent="0.35">
      <c r="A21">
        <v>19</v>
      </c>
      <c r="B21" s="7">
        <v>-1.3387862295468409</v>
      </c>
      <c r="C21" s="91">
        <f t="shared" si="3"/>
        <v>-1.3387862295468844</v>
      </c>
      <c r="D21" s="78"/>
      <c r="E21" s="78"/>
      <c r="F21" s="78"/>
      <c r="G21" s="78"/>
      <c r="H21" s="78"/>
    </row>
    <row r="22" spans="1:8" ht="15" x14ac:dyDescent="0.35">
      <c r="A22">
        <v>20</v>
      </c>
      <c r="B22" s="7">
        <v>-1.1408464124288855</v>
      </c>
      <c r="C22" s="91">
        <f t="shared" si="3"/>
        <v>-1.140846412428929</v>
      </c>
      <c r="D22" s="78"/>
      <c r="E22" s="78"/>
      <c r="F22" s="78"/>
      <c r="G22" s="78"/>
      <c r="H22" s="78"/>
    </row>
    <row r="23" spans="1:8" ht="15" x14ac:dyDescent="0.35">
      <c r="A23">
        <v>21</v>
      </c>
      <c r="B23" s="7">
        <v>1.2104366231225896</v>
      </c>
      <c r="C23" s="91">
        <f t="shared" si="3"/>
        <v>1.2104366231225461</v>
      </c>
      <c r="D23" s="78"/>
      <c r="E23" s="78"/>
      <c r="F23" s="78"/>
      <c r="G23" s="78"/>
      <c r="H23" s="78"/>
    </row>
    <row r="24" spans="1:8" ht="15" x14ac:dyDescent="0.35">
      <c r="A24">
        <v>22</v>
      </c>
      <c r="B24" s="7">
        <v>1.3534535095124056</v>
      </c>
      <c r="C24" s="91">
        <f t="shared" si="3"/>
        <v>1.3534535095123621</v>
      </c>
      <c r="D24" s="78"/>
      <c r="E24" s="78"/>
      <c r="F24" s="78"/>
      <c r="G24" s="78"/>
      <c r="H24" s="78"/>
    </row>
    <row r="25" spans="1:8" ht="15" x14ac:dyDescent="0.35">
      <c r="A25">
        <v>23</v>
      </c>
      <c r="B25" s="7">
        <v>1.4156739901922464</v>
      </c>
      <c r="C25" s="91">
        <f t="shared" si="3"/>
        <v>1.4156739901922029</v>
      </c>
      <c r="D25" s="78"/>
      <c r="E25" s="78"/>
      <c r="F25" s="78"/>
      <c r="G25" s="78"/>
      <c r="H25" s="78"/>
    </row>
    <row r="26" spans="1:8" ht="15" x14ac:dyDescent="0.35">
      <c r="A26">
        <v>24</v>
      </c>
      <c r="B26" s="7">
        <v>2.2737581720263478</v>
      </c>
      <c r="C26" s="91">
        <f t="shared" si="3"/>
        <v>2.2737581720263043</v>
      </c>
      <c r="D26" s="78"/>
      <c r="E26" s="78"/>
      <c r="F26" s="78"/>
      <c r="G26" s="78"/>
      <c r="H26" s="78"/>
    </row>
    <row r="27" spans="1:8" ht="15" x14ac:dyDescent="0.35">
      <c r="A27">
        <v>25</v>
      </c>
      <c r="B27" s="7">
        <v>2.7019455895584485</v>
      </c>
      <c r="C27" s="91">
        <f t="shared" si="3"/>
        <v>2.701945589558405</v>
      </c>
      <c r="D27" s="78"/>
      <c r="E27" s="78"/>
      <c r="F27" s="78"/>
      <c r="G27" s="78"/>
      <c r="H27" s="78"/>
    </row>
    <row r="28" spans="1:8" ht="15" x14ac:dyDescent="0.35">
      <c r="A28">
        <v>26</v>
      </c>
      <c r="B28" s="7">
        <v>2.7374243005762651</v>
      </c>
      <c r="C28" s="91">
        <f t="shared" si="3"/>
        <v>2.7374243005762215</v>
      </c>
      <c r="D28" s="78"/>
      <c r="E28" s="78"/>
      <c r="F28" s="78"/>
      <c r="G28" s="78"/>
      <c r="H28" s="78"/>
    </row>
    <row r="29" spans="1:8" ht="15" x14ac:dyDescent="0.35">
      <c r="A29">
        <v>27</v>
      </c>
      <c r="B29" s="7">
        <v>2.6584925768133587</v>
      </c>
      <c r="C29" s="91">
        <f t="shared" si="3"/>
        <v>2.6584925768133152</v>
      </c>
      <c r="D29" s="78"/>
      <c r="E29" s="78"/>
      <c r="F29" s="78"/>
      <c r="G29" s="78"/>
      <c r="H29" s="78"/>
    </row>
    <row r="30" spans="1:8" ht="15" x14ac:dyDescent="0.35">
      <c r="A30">
        <v>28</v>
      </c>
      <c r="B30" s="7">
        <v>1.0406962924259631</v>
      </c>
      <c r="C30" s="91">
        <f t="shared" si="3"/>
        <v>1.0406962924259195</v>
      </c>
      <c r="D30" s="78"/>
      <c r="E30" s="78"/>
      <c r="F30" s="78"/>
      <c r="G30" s="78"/>
      <c r="H30" s="78"/>
    </row>
    <row r="31" spans="1:8" ht="15" x14ac:dyDescent="0.35">
      <c r="A31">
        <v>29</v>
      </c>
      <c r="B31" s="7">
        <v>0.46241914326424194</v>
      </c>
      <c r="C31" s="91">
        <f t="shared" si="3"/>
        <v>0.46241914326419847</v>
      </c>
      <c r="D31" s="78"/>
      <c r="E31" s="78"/>
      <c r="F31" s="78"/>
      <c r="G31" s="78"/>
      <c r="H31" s="78"/>
    </row>
    <row r="32" spans="1:8" ht="15" x14ac:dyDescent="0.35">
      <c r="A32">
        <v>30</v>
      </c>
      <c r="B32" s="7">
        <v>0.16555090267497974</v>
      </c>
      <c r="C32" s="91">
        <f t="shared" si="3"/>
        <v>0.16555090267493625</v>
      </c>
      <c r="D32" s="78"/>
      <c r="E32" s="78"/>
      <c r="F32" s="78"/>
      <c r="G32" s="78"/>
      <c r="H32" s="78"/>
    </row>
    <row r="33" spans="1:8" ht="15" x14ac:dyDescent="0.35">
      <c r="A33">
        <v>31</v>
      </c>
      <c r="B33" s="7">
        <v>0.52264187757251079</v>
      </c>
      <c r="C33" s="91">
        <f t="shared" si="3"/>
        <v>0.52264187757246727</v>
      </c>
      <c r="D33" s="78"/>
      <c r="E33" s="78"/>
      <c r="F33" s="78"/>
      <c r="G33" s="78"/>
      <c r="H33" s="78"/>
    </row>
    <row r="34" spans="1:8" ht="15" x14ac:dyDescent="0.35">
      <c r="A34">
        <v>32</v>
      </c>
      <c r="B34" s="7">
        <v>-0.6092687975850879</v>
      </c>
      <c r="C34" s="91">
        <f t="shared" si="3"/>
        <v>-0.60926879758513142</v>
      </c>
      <c r="D34" s="78"/>
      <c r="E34" s="78"/>
      <c r="F34" s="78"/>
      <c r="G34" s="78"/>
      <c r="H34" s="78"/>
    </row>
    <row r="35" spans="1:8" ht="15" x14ac:dyDescent="0.35">
      <c r="A35">
        <v>33</v>
      </c>
      <c r="B35" s="7">
        <v>-0.22461339512281597</v>
      </c>
      <c r="C35" s="91">
        <f t="shared" si="3"/>
        <v>-0.22461339512285947</v>
      </c>
      <c r="D35" s="78"/>
      <c r="E35" s="78"/>
      <c r="F35" s="78"/>
      <c r="G35" s="78"/>
      <c r="H35" s="78"/>
    </row>
    <row r="36" spans="1:8" ht="15" x14ac:dyDescent="0.35">
      <c r="A36">
        <v>34</v>
      </c>
      <c r="B36" s="7">
        <v>-0.71022019365791778</v>
      </c>
      <c r="C36" s="91">
        <f t="shared" si="3"/>
        <v>-0.7102201936579613</v>
      </c>
      <c r="D36" s="78"/>
      <c r="E36" s="78"/>
      <c r="F36" s="78"/>
      <c r="G36" s="78"/>
      <c r="H36" s="78"/>
    </row>
    <row r="37" spans="1:8" ht="15" x14ac:dyDescent="0.35">
      <c r="A37">
        <v>35</v>
      </c>
      <c r="B37" s="7">
        <v>-0.91995334200768752</v>
      </c>
      <c r="C37" s="91">
        <f t="shared" si="3"/>
        <v>-0.91995334200773105</v>
      </c>
      <c r="D37" s="78"/>
      <c r="E37" s="78"/>
      <c r="F37" s="78"/>
      <c r="G37" s="78"/>
      <c r="H37" s="78"/>
    </row>
    <row r="38" spans="1:8" ht="15" x14ac:dyDescent="0.35">
      <c r="A38">
        <v>36</v>
      </c>
      <c r="B38" s="7">
        <v>-0.14653481387192357</v>
      </c>
      <c r="C38" s="91">
        <f t="shared" si="3"/>
        <v>-0.14653481387196707</v>
      </c>
      <c r="D38" s="78"/>
      <c r="E38" s="78"/>
      <c r="F38" s="78"/>
      <c r="G38" s="78"/>
      <c r="H38" s="78"/>
    </row>
    <row r="39" spans="1:8" ht="15" x14ac:dyDescent="0.35">
      <c r="A39">
        <v>37</v>
      </c>
      <c r="B39" s="7">
        <v>-0.20625791833862195</v>
      </c>
      <c r="C39" s="91">
        <f t="shared" si="3"/>
        <v>-0.20625791833866544</v>
      </c>
      <c r="D39" s="78"/>
      <c r="E39" s="78"/>
      <c r="F39" s="78"/>
      <c r="G39" s="78"/>
      <c r="H39" s="78"/>
    </row>
    <row r="40" spans="1:8" ht="15" x14ac:dyDescent="0.35">
      <c r="A40">
        <v>38</v>
      </c>
      <c r="B40" s="7">
        <v>0.23611524163560205</v>
      </c>
      <c r="C40" s="91">
        <f t="shared" si="3"/>
        <v>0.23611524163555855</v>
      </c>
      <c r="D40" s="78"/>
      <c r="E40" s="78"/>
      <c r="F40" s="78"/>
      <c r="G40" s="78"/>
      <c r="H40" s="78"/>
    </row>
    <row r="41" spans="1:8" ht="15" x14ac:dyDescent="0.35">
      <c r="A41">
        <v>39</v>
      </c>
      <c r="B41" s="7">
        <v>0.44148736569484015</v>
      </c>
      <c r="C41" s="91">
        <f t="shared" si="3"/>
        <v>0.44148736569479669</v>
      </c>
      <c r="D41" s="78"/>
      <c r="E41" s="78"/>
      <c r="F41" s="78"/>
      <c r="G41" s="78"/>
      <c r="H41" s="78"/>
    </row>
    <row r="42" spans="1:8" ht="15" x14ac:dyDescent="0.35">
      <c r="A42">
        <v>40</v>
      </c>
      <c r="B42" s="7">
        <v>0.39375329711434404</v>
      </c>
      <c r="C42" s="91">
        <f t="shared" si="3"/>
        <v>0.39375329711430057</v>
      </c>
      <c r="D42" s="78"/>
      <c r="E42" s="78"/>
      <c r="F42" s="78"/>
      <c r="G42" s="78"/>
      <c r="H42" s="78"/>
    </row>
    <row r="43" spans="1:8" ht="15" x14ac:dyDescent="0.35">
      <c r="A43">
        <v>41</v>
      </c>
      <c r="B43" s="7">
        <v>0.58393121341563869</v>
      </c>
      <c r="C43" s="91">
        <f t="shared" si="3"/>
        <v>0.58393121341559517</v>
      </c>
      <c r="D43" s="78"/>
      <c r="E43" s="78"/>
      <c r="F43" s="78"/>
      <c r="G43" s="78"/>
      <c r="H43" s="78"/>
    </row>
    <row r="44" spans="1:8" ht="15" x14ac:dyDescent="0.35">
      <c r="A44">
        <v>42</v>
      </c>
      <c r="B44" s="7">
        <v>1.160167727589311</v>
      </c>
      <c r="C44" s="91">
        <f t="shared" si="3"/>
        <v>1.1601677275892675</v>
      </c>
      <c r="D44" s="78"/>
      <c r="E44" s="78"/>
      <c r="F44" s="78"/>
      <c r="G44" s="78"/>
      <c r="H44" s="78"/>
    </row>
    <row r="45" spans="1:8" ht="15" x14ac:dyDescent="0.35">
      <c r="A45">
        <v>43</v>
      </c>
      <c r="B45" s="7">
        <v>1.4088295415897534</v>
      </c>
      <c r="C45" s="91">
        <f t="shared" si="3"/>
        <v>1.4088295415897099</v>
      </c>
      <c r="D45" s="78"/>
      <c r="E45" s="78"/>
      <c r="F45" s="78"/>
      <c r="G45" s="78"/>
      <c r="H45" s="78"/>
    </row>
    <row r="46" spans="1:8" ht="15" x14ac:dyDescent="0.35">
      <c r="A46">
        <v>44</v>
      </c>
      <c r="B46" s="7">
        <v>1.2502786327597164</v>
      </c>
      <c r="C46" s="91">
        <f t="shared" si="3"/>
        <v>1.2502786327596729</v>
      </c>
      <c r="D46" s="78"/>
      <c r="E46" s="78"/>
      <c r="F46" s="78"/>
      <c r="G46" s="78"/>
      <c r="H46" s="78"/>
    </row>
    <row r="47" spans="1:8" ht="15" x14ac:dyDescent="0.35">
      <c r="A47">
        <v>45</v>
      </c>
      <c r="B47" s="7">
        <v>1.8380819860363005</v>
      </c>
      <c r="C47" s="91">
        <f t="shared" si="3"/>
        <v>1.8380819860362569</v>
      </c>
      <c r="D47" s="78"/>
      <c r="E47" s="78"/>
      <c r="F47" s="78"/>
      <c r="G47" s="78"/>
      <c r="H47" s="78"/>
    </row>
    <row r="48" spans="1:8" ht="15" x14ac:dyDescent="0.35">
      <c r="A48">
        <v>46</v>
      </c>
      <c r="B48" s="7">
        <v>2.089681691245076</v>
      </c>
      <c r="C48" s="91">
        <f t="shared" si="3"/>
        <v>2.0896816912450324</v>
      </c>
      <c r="D48" s="78"/>
      <c r="E48" s="78"/>
      <c r="F48" s="78"/>
      <c r="G48" s="78"/>
      <c r="H48" s="78"/>
    </row>
    <row r="49" spans="1:8" ht="15" x14ac:dyDescent="0.35">
      <c r="A49">
        <v>47</v>
      </c>
      <c r="B49" s="7">
        <v>2.3881019119746583</v>
      </c>
      <c r="C49" s="91">
        <f t="shared" si="3"/>
        <v>2.3881019119746147</v>
      </c>
      <c r="D49" s="78"/>
      <c r="E49" s="78"/>
      <c r="F49" s="78"/>
      <c r="G49" s="78"/>
      <c r="H49" s="78"/>
    </row>
    <row r="50" spans="1:8" ht="15" x14ac:dyDescent="0.35">
      <c r="A50">
        <v>48</v>
      </c>
      <c r="B50" s="7">
        <v>1.8990646522221226</v>
      </c>
      <c r="C50" s="91">
        <f t="shared" si="3"/>
        <v>1.8990646522220791</v>
      </c>
      <c r="D50" s="78"/>
      <c r="E50" s="78"/>
      <c r="F50" s="78"/>
      <c r="G50" s="78"/>
      <c r="H50" s="78"/>
    </row>
    <row r="51" spans="1:8" ht="15" x14ac:dyDescent="0.35">
      <c r="A51">
        <v>49</v>
      </c>
      <c r="B51" s="7">
        <v>1.3993428801964569</v>
      </c>
      <c r="C51" s="91">
        <f t="shared" si="3"/>
        <v>1.3993428801964134</v>
      </c>
      <c r="D51" s="78"/>
      <c r="E51" s="78"/>
      <c r="F51" s="78"/>
      <c r="G51" s="78"/>
      <c r="H51" s="78"/>
    </row>
    <row r="52" spans="1:8" ht="15.6" thickBot="1" x14ac:dyDescent="0.4">
      <c r="A52">
        <v>50</v>
      </c>
      <c r="B52" s="8">
        <v>0.88491150155712717</v>
      </c>
      <c r="C52" s="78"/>
      <c r="D52" s="78"/>
      <c r="E52" s="78"/>
      <c r="F52" s="78"/>
      <c r="G52" s="78"/>
      <c r="H52" s="78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workbookViewId="0">
      <selection activeCell="J53" sqref="J53"/>
    </sheetView>
  </sheetViews>
  <sheetFormatPr defaultRowHeight="14.4" x14ac:dyDescent="0.3"/>
  <cols>
    <col min="1" max="3" width="12.33203125" customWidth="1"/>
    <col min="4" max="4" width="17.33203125" customWidth="1"/>
    <col min="5" max="5" width="4.5546875" customWidth="1"/>
    <col min="6" max="6" width="10.21875" customWidth="1"/>
    <col min="7" max="7" width="20.33203125" customWidth="1"/>
    <col min="8" max="8" width="13.77734375" customWidth="1"/>
  </cols>
  <sheetData>
    <row r="1" spans="1:4" s="31" customFormat="1" ht="16.8" x14ac:dyDescent="0.35">
      <c r="A1" s="82" t="s">
        <v>3</v>
      </c>
      <c r="B1" s="83" t="s">
        <v>152</v>
      </c>
      <c r="C1" s="83" t="s">
        <v>153</v>
      </c>
      <c r="D1" s="84" t="s">
        <v>151</v>
      </c>
    </row>
    <row r="2" spans="1:4" x14ac:dyDescent="0.3">
      <c r="A2" s="7">
        <v>0.55987541455101564</v>
      </c>
      <c r="B2" s="7">
        <f>A2^2</f>
        <v>0.31346047981867159</v>
      </c>
      <c r="C2" s="7"/>
      <c r="D2" s="7">
        <f>A2-AVERAGE($A$2:$A$52)</f>
        <v>0.55987541455097212</v>
      </c>
    </row>
    <row r="3" spans="1:4" x14ac:dyDescent="0.3">
      <c r="A3" s="7">
        <v>1.4314287459114894E-2</v>
      </c>
      <c r="B3" s="7">
        <f>A3^2</f>
        <v>2.0489882546217392E-4</v>
      </c>
      <c r="C3" s="7">
        <f>(A3-A2)^2</f>
        <v>0.2976369433937851</v>
      </c>
      <c r="D3" s="7">
        <f t="shared" ref="D3:D51" si="0">A3-AVERAGE($A$2:$A$52)</f>
        <v>1.4314287459071408E-2</v>
      </c>
    </row>
    <row r="4" spans="1:4" x14ac:dyDescent="0.3">
      <c r="A4" s="7">
        <v>-1.0865871225922348</v>
      </c>
      <c r="B4" s="7">
        <f t="shared" ref="B4:B51" si="1">A4^2</f>
        <v>1.1806715749832724</v>
      </c>
      <c r="C4" s="7">
        <f t="shared" ref="C4:C51" si="2">(A4-A3)^2</f>
        <v>1.21198391465305</v>
      </c>
      <c r="D4" s="7">
        <f t="shared" si="0"/>
        <v>-1.0865871225922783</v>
      </c>
    </row>
    <row r="5" spans="1:4" x14ac:dyDescent="0.3">
      <c r="A5" s="7">
        <v>-1.1250182584832515</v>
      </c>
      <c r="B5" s="7">
        <f t="shared" si="1"/>
        <v>1.2656660819206882</v>
      </c>
      <c r="C5" s="7">
        <f t="shared" si="2"/>
        <v>1.4769522058737971E-3</v>
      </c>
      <c r="D5" s="7">
        <f t="shared" si="0"/>
        <v>-1.1250182584832951</v>
      </c>
    </row>
    <row r="6" spans="1:4" x14ac:dyDescent="0.3">
      <c r="A6" s="7">
        <v>-0.52818095288904487</v>
      </c>
      <c r="B6" s="7">
        <f t="shared" si="1"/>
        <v>0.27897511899477945</v>
      </c>
      <c r="C6" s="7">
        <f t="shared" si="2"/>
        <v>0.35621476934895246</v>
      </c>
      <c r="D6" s="7">
        <f t="shared" si="0"/>
        <v>-0.5281809528890884</v>
      </c>
    </row>
    <row r="7" spans="1:4" x14ac:dyDescent="0.3">
      <c r="A7" s="7">
        <v>-0.93535953069454081</v>
      </c>
      <c r="B7" s="7">
        <f t="shared" si="1"/>
        <v>0.87489745166111166</v>
      </c>
      <c r="C7" s="7">
        <f t="shared" si="2"/>
        <v>0.16579439422370632</v>
      </c>
      <c r="D7" s="7">
        <f t="shared" si="0"/>
        <v>-0.93535953069458433</v>
      </c>
    </row>
    <row r="8" spans="1:4" x14ac:dyDescent="0.3">
      <c r="A8" s="7">
        <v>-0.59293223450141852</v>
      </c>
      <c r="B8" s="7">
        <f t="shared" si="1"/>
        <v>0.35156863471084515</v>
      </c>
      <c r="C8" s="7">
        <f t="shared" si="2"/>
        <v>0.1172564531781323</v>
      </c>
      <c r="D8" s="7">
        <f t="shared" si="0"/>
        <v>-0.59293223450146204</v>
      </c>
    </row>
    <row r="9" spans="1:4" x14ac:dyDescent="0.3">
      <c r="A9" s="7">
        <v>-1.4249072282248108</v>
      </c>
      <c r="B9" s="7">
        <f t="shared" si="1"/>
        <v>2.030360609047313</v>
      </c>
      <c r="C9" s="7">
        <f t="shared" si="2"/>
        <v>0.69218239018103855</v>
      </c>
      <c r="D9" s="7">
        <f t="shared" si="0"/>
        <v>-1.4249072282248543</v>
      </c>
    </row>
    <row r="10" spans="1:4" x14ac:dyDescent="0.3">
      <c r="A10" s="7">
        <v>-1.4477248219892545</v>
      </c>
      <c r="B10" s="7">
        <f t="shared" si="1"/>
        <v>2.0959071602038186</v>
      </c>
      <c r="C10" s="7">
        <f t="shared" si="2"/>
        <v>5.2064258519918E-4</v>
      </c>
      <c r="D10" s="7">
        <f t="shared" si="0"/>
        <v>-1.447724821989298</v>
      </c>
    </row>
    <row r="11" spans="1:4" x14ac:dyDescent="0.3">
      <c r="A11" s="7">
        <v>-1.4302154546109449</v>
      </c>
      <c r="B11" s="7">
        <f t="shared" si="1"/>
        <v>2.0455162466079919</v>
      </c>
      <c r="C11" s="7">
        <f t="shared" si="2"/>
        <v>3.0657794598861057E-4</v>
      </c>
      <c r="D11" s="7">
        <f t="shared" si="0"/>
        <v>-1.4302154546109884</v>
      </c>
    </row>
    <row r="12" spans="1:4" x14ac:dyDescent="0.3">
      <c r="A12" s="7">
        <v>-1.744864556781593</v>
      </c>
      <c r="B12" s="7">
        <f t="shared" si="1"/>
        <v>3.0445523215126249</v>
      </c>
      <c r="C12" s="7">
        <f t="shared" si="2"/>
        <v>9.9004057496794959E-2</v>
      </c>
      <c r="D12" s="7">
        <f t="shared" si="0"/>
        <v>-1.7448645567816365</v>
      </c>
    </row>
    <row r="13" spans="1:4" x14ac:dyDescent="0.3">
      <c r="A13" s="7">
        <v>-2.5041460353942568</v>
      </c>
      <c r="B13" s="7">
        <f t="shared" si="1"/>
        <v>6.2707473665807747</v>
      </c>
      <c r="C13" s="7">
        <f t="shared" si="2"/>
        <v>0.57650836376423309</v>
      </c>
      <c r="D13" s="7">
        <f t="shared" si="0"/>
        <v>-2.5041460353943004</v>
      </c>
    </row>
    <row r="14" spans="1:4" x14ac:dyDescent="0.3">
      <c r="A14" s="7">
        <v>-2.4365849750969488</v>
      </c>
      <c r="B14" s="7">
        <f t="shared" si="1"/>
        <v>5.9369463408681984</v>
      </c>
      <c r="C14" s="7">
        <f t="shared" si="2"/>
        <v>4.5644968684964895E-3</v>
      </c>
      <c r="D14" s="7">
        <f t="shared" si="0"/>
        <v>-2.4365849750969923</v>
      </c>
    </row>
    <row r="15" spans="1:4" x14ac:dyDescent="0.3">
      <c r="A15" s="7">
        <v>-2.4644540973250173</v>
      </c>
      <c r="B15" s="7">
        <f t="shared" si="1"/>
        <v>6.0735339978220662</v>
      </c>
      <c r="C15" s="7">
        <f t="shared" si="2"/>
        <v>7.7668797376302049E-4</v>
      </c>
      <c r="D15" s="7">
        <f t="shared" si="0"/>
        <v>-2.4644540973250608</v>
      </c>
    </row>
    <row r="16" spans="1:4" x14ac:dyDescent="0.3">
      <c r="A16" s="7">
        <v>-2.1798859724730164</v>
      </c>
      <c r="B16" s="7">
        <f t="shared" si="1"/>
        <v>4.7519028529846281</v>
      </c>
      <c r="C16" s="7">
        <f t="shared" si="2"/>
        <v>8.0979017681783963E-2</v>
      </c>
      <c r="D16" s="7">
        <f t="shared" si="0"/>
        <v>-2.1798859724730599</v>
      </c>
    </row>
    <row r="17" spans="1:10" x14ac:dyDescent="0.3">
      <c r="A17" s="7">
        <v>-2.767187755740494</v>
      </c>
      <c r="B17" s="7">
        <f t="shared" si="1"/>
        <v>7.6573280755201116</v>
      </c>
      <c r="C17" s="7">
        <f t="shared" si="2"/>
        <v>0.34492338462915928</v>
      </c>
      <c r="D17" s="7">
        <f t="shared" si="0"/>
        <v>-2.7671877557405375</v>
      </c>
    </row>
    <row r="18" spans="1:10" ht="15.6" hidden="1" x14ac:dyDescent="0.35">
      <c r="A18" s="7">
        <v>-2.5814392180785433</v>
      </c>
      <c r="B18" s="7">
        <f t="shared" si="1"/>
        <v>6.6638284366339606</v>
      </c>
      <c r="C18" s="7">
        <f t="shared" si="2"/>
        <v>3.4502519243553138E-2</v>
      </c>
      <c r="D18" s="7">
        <f t="shared" si="0"/>
        <v>-2.5814392180785868</v>
      </c>
      <c r="E18" s="6" t="s">
        <v>105</v>
      </c>
      <c r="F18">
        <v>1.585</v>
      </c>
      <c r="G18">
        <f>4+F18</f>
        <v>5.585</v>
      </c>
      <c r="H18">
        <f>4-F18</f>
        <v>2.415</v>
      </c>
      <c r="J18" s="36"/>
    </row>
    <row r="19" spans="1:10" hidden="1" x14ac:dyDescent="0.3">
      <c r="A19" s="7">
        <v>-2.5444610053431092</v>
      </c>
      <c r="B19" s="7">
        <f t="shared" si="1"/>
        <v>6.4742818077116659</v>
      </c>
      <c r="C19" s="7">
        <f t="shared" si="2"/>
        <v>1.3673882171070216E-3</v>
      </c>
      <c r="D19" s="7">
        <f t="shared" si="0"/>
        <v>-2.5444610053431527</v>
      </c>
      <c r="J19" s="36"/>
    </row>
    <row r="20" spans="1:10" hidden="1" x14ac:dyDescent="0.3">
      <c r="A20" s="7">
        <v>-1.3387862295468409</v>
      </c>
      <c r="B20" s="7">
        <f t="shared" si="1"/>
        <v>1.7923485684242466</v>
      </c>
      <c r="C20" s="7">
        <f t="shared" si="2"/>
        <v>1.4536516649913818</v>
      </c>
      <c r="D20" s="7">
        <f t="shared" si="0"/>
        <v>-1.3387862295468844</v>
      </c>
      <c r="J20" s="36"/>
    </row>
    <row r="21" spans="1:10" hidden="1" x14ac:dyDescent="0.3">
      <c r="A21" s="7">
        <v>-1.1408464124288855</v>
      </c>
      <c r="B21" s="7">
        <f t="shared" si="1"/>
        <v>1.3015305367518588</v>
      </c>
      <c r="C21" s="7">
        <f t="shared" si="2"/>
        <v>3.9180171200689624E-2</v>
      </c>
      <c r="D21" s="7">
        <f t="shared" si="0"/>
        <v>-1.140846412428929</v>
      </c>
      <c r="J21" s="36"/>
    </row>
    <row r="22" spans="1:10" hidden="1" x14ac:dyDescent="0.3">
      <c r="A22" s="7">
        <v>1.2104366231225896</v>
      </c>
      <c r="B22" s="7">
        <f t="shared" si="1"/>
        <v>1.4651568185964181</v>
      </c>
      <c r="C22" s="7">
        <f t="shared" si="2"/>
        <v>5.5285319132721593</v>
      </c>
      <c r="D22" s="7">
        <f t="shared" si="0"/>
        <v>1.2104366231225461</v>
      </c>
    </row>
    <row r="23" spans="1:10" hidden="1" x14ac:dyDescent="0.3">
      <c r="A23" s="7">
        <v>1.3534535095124056</v>
      </c>
      <c r="B23" s="7">
        <f t="shared" si="1"/>
        <v>1.8318364024114475</v>
      </c>
      <c r="C23" s="7">
        <f t="shared" si="2"/>
        <v>2.0453829792637542E-2</v>
      </c>
      <c r="D23" s="7">
        <f t="shared" si="0"/>
        <v>1.3534535095123621</v>
      </c>
    </row>
    <row r="24" spans="1:10" hidden="1" x14ac:dyDescent="0.3">
      <c r="A24" s="7">
        <v>1.4156739901922464</v>
      </c>
      <c r="B24" s="7">
        <f t="shared" si="1"/>
        <v>2.0041328465068364</v>
      </c>
      <c r="C24" s="7">
        <f t="shared" si="2"/>
        <v>3.8713882160304374E-3</v>
      </c>
      <c r="D24" s="7">
        <f t="shared" si="0"/>
        <v>1.4156739901922029</v>
      </c>
    </row>
    <row r="25" spans="1:10" hidden="1" x14ac:dyDescent="0.3">
      <c r="A25" s="7">
        <v>2.2737581720263478</v>
      </c>
      <c r="B25" s="7">
        <f t="shared" si="1"/>
        <v>5.1699762248565984</v>
      </c>
      <c r="C25" s="7">
        <f t="shared" si="2"/>
        <v>0.73630846311389919</v>
      </c>
      <c r="D25" s="7">
        <f t="shared" si="0"/>
        <v>2.2737581720263043</v>
      </c>
    </row>
    <row r="26" spans="1:10" hidden="1" x14ac:dyDescent="0.3">
      <c r="A26" s="7">
        <v>2.7019455895584485</v>
      </c>
      <c r="B26" s="7">
        <f t="shared" si="1"/>
        <v>7.3005099689343522</v>
      </c>
      <c r="C26" s="7">
        <f t="shared" si="2"/>
        <v>0.18334446453280959</v>
      </c>
      <c r="D26" s="7">
        <f t="shared" si="0"/>
        <v>2.701945589558405</v>
      </c>
    </row>
    <row r="27" spans="1:10" hidden="1" x14ac:dyDescent="0.3">
      <c r="A27" s="7">
        <v>2.7374243005762651</v>
      </c>
      <c r="B27" s="7">
        <f t="shared" si="1"/>
        <v>7.4934918013854537</v>
      </c>
      <c r="C27" s="7">
        <f t="shared" si="2"/>
        <v>1.2587389354857354E-3</v>
      </c>
      <c r="D27" s="7">
        <f t="shared" si="0"/>
        <v>2.7374243005762215</v>
      </c>
    </row>
    <row r="28" spans="1:10" hidden="1" x14ac:dyDescent="0.3">
      <c r="A28" s="7">
        <v>2.6584925768133587</v>
      </c>
      <c r="B28" s="7">
        <f t="shared" si="1"/>
        <v>7.0675827809717315</v>
      </c>
      <c r="C28" s="7">
        <f t="shared" si="2"/>
        <v>6.2302170161837563E-3</v>
      </c>
      <c r="D28" s="7">
        <f t="shared" si="0"/>
        <v>2.6584925768133152</v>
      </c>
    </row>
    <row r="29" spans="1:10" hidden="1" x14ac:dyDescent="0.3">
      <c r="A29" s="7">
        <v>1.0406962924259631</v>
      </c>
      <c r="B29" s="7">
        <f t="shared" si="1"/>
        <v>1.0830487730691456</v>
      </c>
      <c r="C29" s="7">
        <f t="shared" si="2"/>
        <v>2.617264817777663</v>
      </c>
      <c r="D29" s="7">
        <f t="shared" si="0"/>
        <v>1.0406962924259195</v>
      </c>
    </row>
    <row r="30" spans="1:10" hidden="1" x14ac:dyDescent="0.3">
      <c r="A30" s="7">
        <v>0.46241914326424194</v>
      </c>
      <c r="B30" s="7">
        <f t="shared" si="1"/>
        <v>0.21383146405723552</v>
      </c>
      <c r="C30" s="7">
        <f t="shared" si="2"/>
        <v>0.33440446124260748</v>
      </c>
      <c r="D30" s="7">
        <f t="shared" si="0"/>
        <v>0.46241914326419847</v>
      </c>
    </row>
    <row r="31" spans="1:10" hidden="1" x14ac:dyDescent="0.3">
      <c r="A31" s="7">
        <v>0.16555090267497974</v>
      </c>
      <c r="B31" s="7">
        <f t="shared" si="1"/>
        <v>2.7407101376500615E-2</v>
      </c>
      <c r="C31" s="7">
        <f t="shared" si="2"/>
        <v>8.8130752270564064E-2</v>
      </c>
      <c r="D31" s="7">
        <f t="shared" si="0"/>
        <v>0.16555090267493625</v>
      </c>
    </row>
    <row r="32" spans="1:10" hidden="1" x14ac:dyDescent="0.3">
      <c r="A32" s="7">
        <v>0.52264187757251079</v>
      </c>
      <c r="B32" s="7">
        <f t="shared" si="1"/>
        <v>0.27315453219251934</v>
      </c>
      <c r="C32" s="7">
        <f t="shared" si="2"/>
        <v>0.12751396435326914</v>
      </c>
      <c r="D32" s="7">
        <f t="shared" si="0"/>
        <v>0.52264187757246727</v>
      </c>
    </row>
    <row r="33" spans="1:4" hidden="1" x14ac:dyDescent="0.3">
      <c r="A33" s="7">
        <v>-0.6092687975850879</v>
      </c>
      <c r="B33" s="7">
        <f t="shared" si="1"/>
        <v>0.37120846771077881</v>
      </c>
      <c r="C33" s="7">
        <f t="shared" si="2"/>
        <v>1.281221776535731</v>
      </c>
      <c r="D33" s="7">
        <f t="shared" si="0"/>
        <v>-0.60926879758513142</v>
      </c>
    </row>
    <row r="34" spans="1:4" hidden="1" x14ac:dyDescent="0.3">
      <c r="A34" s="7">
        <v>-0.22461339512281597</v>
      </c>
      <c r="B34" s="7">
        <f t="shared" si="1"/>
        <v>5.0451177268598248E-2</v>
      </c>
      <c r="C34" s="7">
        <f t="shared" si="2"/>
        <v>0.14795977864341239</v>
      </c>
      <c r="D34" s="7">
        <f t="shared" si="0"/>
        <v>-0.22461339512285947</v>
      </c>
    </row>
    <row r="35" spans="1:4" hidden="1" x14ac:dyDescent="0.3">
      <c r="A35" s="7">
        <v>-0.71022019365791778</v>
      </c>
      <c r="B35" s="7">
        <f t="shared" si="1"/>
        <v>0.50441272347949018</v>
      </c>
      <c r="C35" s="7">
        <f t="shared" si="2"/>
        <v>0.23581396278351094</v>
      </c>
      <c r="D35" s="7">
        <f t="shared" si="0"/>
        <v>-0.7102201936579613</v>
      </c>
    </row>
    <row r="36" spans="1:4" hidden="1" x14ac:dyDescent="0.3">
      <c r="A36" s="7">
        <v>-0.91995334200768752</v>
      </c>
      <c r="B36" s="7">
        <f t="shared" si="1"/>
        <v>0.84631415147111333</v>
      </c>
      <c r="C36" s="7">
        <f t="shared" si="2"/>
        <v>4.3987993516706528E-2</v>
      </c>
      <c r="D36" s="7">
        <f t="shared" si="0"/>
        <v>-0.91995334200773105</v>
      </c>
    </row>
    <row r="37" spans="1:4" hidden="1" x14ac:dyDescent="0.3">
      <c r="A37" s="7">
        <v>-0.14653481387192357</v>
      </c>
      <c r="B37" s="7">
        <f t="shared" si="1"/>
        <v>2.1472451676479286E-2</v>
      </c>
      <c r="C37" s="7">
        <f t="shared" si="2"/>
        <v>0.5981762196636915</v>
      </c>
      <c r="D37" s="7">
        <f t="shared" si="0"/>
        <v>-0.14653481387196707</v>
      </c>
    </row>
    <row r="38" spans="1:4" hidden="1" x14ac:dyDescent="0.3">
      <c r="A38" s="7">
        <v>-0.20625791833862195</v>
      </c>
      <c r="B38" s="7">
        <f t="shared" si="1"/>
        <v>4.2542328877381637E-2</v>
      </c>
      <c r="C38" s="7">
        <f t="shared" si="2"/>
        <v>3.5668492071401674E-3</v>
      </c>
      <c r="D38" s="7">
        <f t="shared" si="0"/>
        <v>-0.20625791833866544</v>
      </c>
    </row>
    <row r="39" spans="1:4" hidden="1" x14ac:dyDescent="0.3">
      <c r="A39" s="7">
        <v>0.23611524163560205</v>
      </c>
      <c r="B39" s="7">
        <f t="shared" si="1"/>
        <v>5.5750407332638745E-2</v>
      </c>
      <c r="C39" s="7">
        <f t="shared" si="2"/>
        <v>0.19569401266558037</v>
      </c>
      <c r="D39" s="7">
        <f t="shared" si="0"/>
        <v>0.23611524163555855</v>
      </c>
    </row>
    <row r="40" spans="1:4" hidden="1" x14ac:dyDescent="0.3">
      <c r="A40" s="7">
        <v>0.44148736569484015</v>
      </c>
      <c r="B40" s="7">
        <f t="shared" si="1"/>
        <v>0.19491109406816953</v>
      </c>
      <c r="C40" s="7">
        <f t="shared" si="2"/>
        <v>4.2177709340603088E-2</v>
      </c>
      <c r="D40" s="7">
        <f t="shared" si="0"/>
        <v>0.44148736569479669</v>
      </c>
    </row>
    <row r="41" spans="1:4" hidden="1" x14ac:dyDescent="0.3">
      <c r="A41" s="7">
        <v>0.39375329711434404</v>
      </c>
      <c r="B41" s="7">
        <f t="shared" si="1"/>
        <v>0.1550416589884169</v>
      </c>
      <c r="C41" s="7">
        <f t="shared" si="2"/>
        <v>2.2785413032475063E-3</v>
      </c>
      <c r="D41" s="7">
        <f t="shared" si="0"/>
        <v>0.39375329711430057</v>
      </c>
    </row>
    <row r="42" spans="1:4" hidden="1" x14ac:dyDescent="0.3">
      <c r="A42" s="7">
        <v>0.58393121341563869</v>
      </c>
      <c r="B42" s="7">
        <f t="shared" si="1"/>
        <v>0.34097566200106016</v>
      </c>
      <c r="C42" s="7">
        <f t="shared" si="2"/>
        <v>3.6167639848702235E-2</v>
      </c>
      <c r="D42" s="7">
        <f t="shared" si="0"/>
        <v>0.58393121341559517</v>
      </c>
    </row>
    <row r="43" spans="1:4" hidden="1" x14ac:dyDescent="0.3">
      <c r="A43" s="7">
        <v>1.160167727589311</v>
      </c>
      <c r="B43" s="7">
        <f t="shared" si="1"/>
        <v>1.3459891561397457</v>
      </c>
      <c r="C43" s="7">
        <f t="shared" si="2"/>
        <v>0.3320485202670248</v>
      </c>
      <c r="D43" s="7">
        <f t="shared" si="0"/>
        <v>1.1601677275892675</v>
      </c>
    </row>
    <row r="44" spans="1:4" hidden="1" x14ac:dyDescent="0.3">
      <c r="A44" s="7">
        <v>1.4088295415897534</v>
      </c>
      <c r="B44" s="7">
        <f t="shared" si="1"/>
        <v>1.9848006772559947</v>
      </c>
      <c r="C44" s="7">
        <f t="shared" si="2"/>
        <v>6.1832697741990614E-2</v>
      </c>
      <c r="D44" s="7">
        <f t="shared" si="0"/>
        <v>1.4088295415897099</v>
      </c>
    </row>
    <row r="45" spans="1:4" hidden="1" x14ac:dyDescent="0.3">
      <c r="A45" s="7">
        <v>1.2502786327597164</v>
      </c>
      <c r="B45" s="7">
        <f t="shared" si="1"/>
        <v>1.5631966595355058</v>
      </c>
      <c r="C45" s="7">
        <f t="shared" si="2"/>
        <v>2.5138390690830695E-2</v>
      </c>
      <c r="D45" s="7">
        <f t="shared" si="0"/>
        <v>1.2502786327596729</v>
      </c>
    </row>
    <row r="46" spans="1:4" hidden="1" x14ac:dyDescent="0.3">
      <c r="A46" s="7">
        <v>1.8380819860363005</v>
      </c>
      <c r="B46" s="7">
        <f t="shared" si="1"/>
        <v>3.3785453873911506</v>
      </c>
      <c r="C46" s="7">
        <f t="shared" si="2"/>
        <v>0.34551278212319669</v>
      </c>
      <c r="D46" s="7">
        <f t="shared" si="0"/>
        <v>1.8380819860362569</v>
      </c>
    </row>
    <row r="47" spans="1:4" hidden="1" x14ac:dyDescent="0.3">
      <c r="A47" s="7">
        <v>2.089681691245076</v>
      </c>
      <c r="B47" s="7">
        <f t="shared" si="1"/>
        <v>4.3667695707248813</v>
      </c>
      <c r="C47" s="7">
        <f t="shared" si="2"/>
        <v>6.3302411661142741E-2</v>
      </c>
      <c r="D47" s="7">
        <f t="shared" si="0"/>
        <v>2.0896816912450324</v>
      </c>
    </row>
    <row r="48" spans="1:4" x14ac:dyDescent="0.3">
      <c r="A48" s="7">
        <v>2.3881019119746583</v>
      </c>
      <c r="B48" s="7">
        <f t="shared" si="1"/>
        <v>5.7030307419770185</v>
      </c>
      <c r="C48" s="7">
        <f t="shared" si="2"/>
        <v>8.9054628140292622E-2</v>
      </c>
      <c r="D48" s="7">
        <f t="shared" si="0"/>
        <v>2.3881019119746147</v>
      </c>
    </row>
    <row r="49" spans="1:8" x14ac:dyDescent="0.3">
      <c r="A49" s="7">
        <v>1.8990646522221226</v>
      </c>
      <c r="B49" s="7">
        <f t="shared" si="1"/>
        <v>3.6064465533195316</v>
      </c>
      <c r="C49" s="7">
        <f t="shared" si="2"/>
        <v>0.23915744142626902</v>
      </c>
      <c r="D49" s="7">
        <f t="shared" si="0"/>
        <v>1.8990646522220791</v>
      </c>
    </row>
    <row r="50" spans="1:8" ht="15.6" x14ac:dyDescent="0.35">
      <c r="A50" s="7">
        <v>1.3993428801964569</v>
      </c>
      <c r="B50" s="7">
        <f t="shared" si="1"/>
        <v>1.9581604963565156</v>
      </c>
      <c r="C50" s="7">
        <f t="shared" si="2"/>
        <v>0.24972184943647141</v>
      </c>
      <c r="D50" s="7">
        <f t="shared" si="0"/>
        <v>1.3993428801964134</v>
      </c>
      <c r="E50" s="6" t="s">
        <v>101</v>
      </c>
      <c r="F50" s="80">
        <f>C52/B52</f>
        <v>0.15939481869303163</v>
      </c>
      <c r="G50" s="81">
        <f>SUMXMY2(A2:A50, A3:A51)/SUMSQ(A2:A51)</f>
        <v>0.15939481869303163</v>
      </c>
    </row>
    <row r="51" spans="1:8" ht="15.6" x14ac:dyDescent="0.3">
      <c r="A51" s="7">
        <v>0.88491150155712717</v>
      </c>
      <c r="B51" s="7">
        <f t="shared" si="1"/>
        <v>0.78306836558808945</v>
      </c>
      <c r="C51" s="7">
        <f t="shared" si="2"/>
        <v>0.26463964332876144</v>
      </c>
      <c r="D51" s="7">
        <f t="shared" si="0"/>
        <v>0.88491150155708365</v>
      </c>
      <c r="E51" s="9" t="s">
        <v>44</v>
      </c>
      <c r="F51">
        <v>0.05</v>
      </c>
    </row>
    <row r="52" spans="1:8" x14ac:dyDescent="0.3">
      <c r="A52" s="79" t="s">
        <v>100</v>
      </c>
      <c r="B52" s="64">
        <f>SUM(B2:B51)</f>
        <v>121.60744500710493</v>
      </c>
      <c r="C52" s="64">
        <f>SUM(C3:C51)</f>
        <v>19.383596648630306</v>
      </c>
      <c r="D52" s="7"/>
      <c r="E52" s="6" t="s">
        <v>102</v>
      </c>
      <c r="F52">
        <v>50</v>
      </c>
    </row>
    <row r="53" spans="1:8" x14ac:dyDescent="0.3">
      <c r="B53" s="63"/>
      <c r="C53" s="63"/>
      <c r="E53" s="6" t="s">
        <v>103</v>
      </c>
      <c r="F53">
        <v>1</v>
      </c>
    </row>
    <row r="54" spans="1:8" ht="15.6" x14ac:dyDescent="0.35">
      <c r="B54" s="65">
        <f>SUMSQ(A2:A51)</f>
        <v>121.60744500710493</v>
      </c>
      <c r="C54" s="65">
        <f>SUMXMY2(A3:A51,A2:A50)</f>
        <v>19.383596648630306</v>
      </c>
      <c r="E54" s="6"/>
      <c r="G54" s="66" t="s">
        <v>132</v>
      </c>
      <c r="H54" s="66" t="s">
        <v>131</v>
      </c>
    </row>
    <row r="55" spans="1:8" ht="15.6" x14ac:dyDescent="0.35">
      <c r="B55" s="63"/>
      <c r="C55" s="63"/>
      <c r="E55" s="6" t="s">
        <v>104</v>
      </c>
      <c r="F55">
        <v>1.5029999999999999</v>
      </c>
      <c r="G55">
        <f>4-F55</f>
        <v>2.4969999999999999</v>
      </c>
      <c r="H55">
        <f>4+F55</f>
        <v>5.5030000000000001</v>
      </c>
    </row>
    <row r="56" spans="1:8" ht="15.6" x14ac:dyDescent="0.35">
      <c r="E56" s="6" t="s">
        <v>105</v>
      </c>
      <c r="F56">
        <v>1.585</v>
      </c>
      <c r="G56">
        <f>4-F56</f>
        <v>2.415</v>
      </c>
      <c r="H56">
        <f>4+F56</f>
        <v>5.585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0"/>
  <sheetViews>
    <sheetView workbookViewId="0">
      <selection activeCell="M17" sqref="M17"/>
    </sheetView>
  </sheetViews>
  <sheetFormatPr defaultRowHeight="14.4" x14ac:dyDescent="0.3"/>
  <cols>
    <col min="1" max="1" width="9.109375" style="3"/>
  </cols>
  <sheetData>
    <row r="1" spans="1:2" x14ac:dyDescent="0.3">
      <c r="A1" s="3">
        <v>89.864499999999992</v>
      </c>
      <c r="B1">
        <v>81</v>
      </c>
    </row>
    <row r="2" spans="1:2" x14ac:dyDescent="0.3">
      <c r="A2" s="3">
        <v>83.178899999999999</v>
      </c>
      <c r="B2">
        <v>77</v>
      </c>
    </row>
    <row r="3" spans="1:2" x14ac:dyDescent="0.3">
      <c r="A3" s="3">
        <v>110.4029</v>
      </c>
      <c r="B3">
        <v>80</v>
      </c>
    </row>
    <row r="4" spans="1:2" x14ac:dyDescent="0.3">
      <c r="A4" s="3">
        <v>109.85784</v>
      </c>
      <c r="B4">
        <v>80</v>
      </c>
    </row>
    <row r="5" spans="1:2" x14ac:dyDescent="0.3">
      <c r="A5" s="3">
        <v>86.803899999999999</v>
      </c>
      <c r="B5">
        <v>82</v>
      </c>
    </row>
    <row r="6" spans="1:2" x14ac:dyDescent="0.3">
      <c r="A6" s="3">
        <v>91.963909999999998</v>
      </c>
      <c r="B6">
        <v>79</v>
      </c>
    </row>
    <row r="7" spans="1:2" x14ac:dyDescent="0.3">
      <c r="A7" s="3">
        <v>71.129899999999992</v>
      </c>
      <c r="B7">
        <v>77</v>
      </c>
    </row>
    <row r="8" spans="1:2" x14ac:dyDescent="0.3">
      <c r="A8" s="3">
        <v>121.0878</v>
      </c>
      <c r="B8">
        <v>80</v>
      </c>
    </row>
    <row r="9" spans="1:2" x14ac:dyDescent="0.3">
      <c r="A9" s="3">
        <v>97.317189999999997</v>
      </c>
      <c r="B9">
        <v>80</v>
      </c>
    </row>
    <row r="10" spans="1:2" x14ac:dyDescent="0.3">
      <c r="A10" s="3">
        <v>108.58064</v>
      </c>
      <c r="B10">
        <v>80</v>
      </c>
    </row>
    <row r="11" spans="1:2" x14ac:dyDescent="0.3">
      <c r="A11" s="3">
        <v>104.92010999999999</v>
      </c>
      <c r="B11">
        <v>76</v>
      </c>
    </row>
    <row r="12" spans="1:2" x14ac:dyDescent="0.3">
      <c r="A12" s="3">
        <v>98.378320000000002</v>
      </c>
      <c r="B12">
        <v>72</v>
      </c>
    </row>
    <row r="13" spans="1:2" x14ac:dyDescent="0.3">
      <c r="A13" s="3">
        <v>109.41766</v>
      </c>
      <c r="B13">
        <v>76</v>
      </c>
    </row>
    <row r="14" spans="1:2" x14ac:dyDescent="0.3">
      <c r="A14" s="3">
        <v>104.37785</v>
      </c>
      <c r="B14">
        <v>80</v>
      </c>
    </row>
    <row r="15" spans="1:2" x14ac:dyDescent="0.3">
      <c r="A15" s="3">
        <v>98.746369999999999</v>
      </c>
      <c r="B15">
        <v>77</v>
      </c>
    </row>
    <row r="16" spans="1:2" x14ac:dyDescent="0.3">
      <c r="A16" s="3">
        <v>98.705489999999998</v>
      </c>
      <c r="B16">
        <v>79</v>
      </c>
    </row>
    <row r="17" spans="1:2" x14ac:dyDescent="0.3">
      <c r="A17" s="3">
        <v>91.230779999999996</v>
      </c>
      <c r="B17">
        <v>84</v>
      </c>
    </row>
    <row r="18" spans="1:2" x14ac:dyDescent="0.3">
      <c r="A18" s="3">
        <v>95.111019999999996</v>
      </c>
      <c r="B18">
        <v>83</v>
      </c>
    </row>
    <row r="19" spans="1:2" x14ac:dyDescent="0.3">
      <c r="A19" s="3">
        <v>116.22970000000001</v>
      </c>
      <c r="B19">
        <v>81</v>
      </c>
    </row>
    <row r="20" spans="1:2" x14ac:dyDescent="0.3">
      <c r="A20" s="3">
        <v>79.968000000000004</v>
      </c>
      <c r="B20">
        <v>84</v>
      </c>
    </row>
    <row r="21" spans="1:2" x14ac:dyDescent="0.3">
      <c r="A21" s="3">
        <v>105.00548999999999</v>
      </c>
      <c r="B21">
        <v>84</v>
      </c>
    </row>
    <row r="22" spans="1:2" x14ac:dyDescent="0.3">
      <c r="A22" s="3">
        <v>102.50122999999999</v>
      </c>
      <c r="B22">
        <v>80</v>
      </c>
    </row>
    <row r="23" spans="1:2" x14ac:dyDescent="0.3">
      <c r="A23" s="3">
        <v>100.996765</v>
      </c>
      <c r="B23">
        <v>82</v>
      </c>
    </row>
    <row r="24" spans="1:2" x14ac:dyDescent="0.3">
      <c r="A24" s="3">
        <v>101.63869</v>
      </c>
      <c r="B24">
        <v>83</v>
      </c>
    </row>
    <row r="25" spans="1:2" x14ac:dyDescent="0.3">
      <c r="A25" s="3">
        <v>103.36381</v>
      </c>
      <c r="B25">
        <v>81</v>
      </c>
    </row>
    <row r="26" spans="1:2" x14ac:dyDescent="0.3">
      <c r="A26" s="3">
        <v>109.0202</v>
      </c>
      <c r="B26">
        <v>81</v>
      </c>
    </row>
    <row r="27" spans="1:2" x14ac:dyDescent="0.3">
      <c r="A27" s="3">
        <v>94.719279999999998</v>
      </c>
      <c r="B27">
        <v>82</v>
      </c>
    </row>
    <row r="28" spans="1:2" x14ac:dyDescent="0.3">
      <c r="A28" s="3">
        <v>102.863</v>
      </c>
      <c r="B28">
        <v>80</v>
      </c>
    </row>
    <row r="29" spans="1:2" x14ac:dyDescent="0.3">
      <c r="A29" s="3">
        <v>93.691130000000001</v>
      </c>
      <c r="B29">
        <v>82</v>
      </c>
    </row>
    <row r="30" spans="1:2" x14ac:dyDescent="0.3">
      <c r="A30" s="3">
        <v>111.6472</v>
      </c>
      <c r="B30">
        <v>85</v>
      </c>
    </row>
    <row r="31" spans="1:2" x14ac:dyDescent="0.3">
      <c r="A31" s="3">
        <v>92.760080000000002</v>
      </c>
      <c r="B31">
        <v>85</v>
      </c>
    </row>
    <row r="32" spans="1:2" x14ac:dyDescent="0.3">
      <c r="A32" s="3">
        <v>93.607759999999999</v>
      </c>
      <c r="B32">
        <v>85</v>
      </c>
    </row>
    <row r="33" spans="1:2" x14ac:dyDescent="0.3">
      <c r="A33" s="3">
        <v>86.450800000000001</v>
      </c>
      <c r="B33">
        <v>89</v>
      </c>
    </row>
    <row r="34" spans="1:2" x14ac:dyDescent="0.3">
      <c r="A34" s="3">
        <v>92.503839999999997</v>
      </c>
      <c r="B34">
        <v>91</v>
      </c>
    </row>
    <row r="35" spans="1:2" x14ac:dyDescent="0.3">
      <c r="A35" s="3">
        <v>94.002589999999998</v>
      </c>
      <c r="B35">
        <v>95</v>
      </c>
    </row>
    <row r="36" spans="1:2" x14ac:dyDescent="0.3">
      <c r="A36" s="3">
        <v>99.221653000000003</v>
      </c>
      <c r="B36">
        <v>92</v>
      </c>
    </row>
    <row r="37" spans="1:2" x14ac:dyDescent="0.3">
      <c r="A37" s="3">
        <v>112.9447</v>
      </c>
      <c r="B37">
        <v>92</v>
      </c>
    </row>
    <row r="38" spans="1:2" x14ac:dyDescent="0.3">
      <c r="A38" s="3">
        <v>87.116900000000001</v>
      </c>
      <c r="B38">
        <v>94</v>
      </c>
    </row>
    <row r="39" spans="1:2" x14ac:dyDescent="0.3">
      <c r="A39" s="3">
        <v>118.7492</v>
      </c>
      <c r="B39">
        <v>91</v>
      </c>
    </row>
    <row r="40" spans="1:2" x14ac:dyDescent="0.3">
      <c r="A40" s="3">
        <v>112.8856</v>
      </c>
      <c r="B40">
        <v>96</v>
      </c>
    </row>
    <row r="41" spans="1:2" x14ac:dyDescent="0.3">
      <c r="A41" s="3">
        <v>89.453199999999995</v>
      </c>
      <c r="B41">
        <v>101</v>
      </c>
    </row>
    <row r="42" spans="1:2" x14ac:dyDescent="0.3">
      <c r="A42" s="3">
        <v>122.7486</v>
      </c>
      <c r="B42">
        <v>103</v>
      </c>
    </row>
    <row r="43" spans="1:2" x14ac:dyDescent="0.3">
      <c r="A43" s="3">
        <v>110.066</v>
      </c>
      <c r="B43">
        <v>104</v>
      </c>
    </row>
    <row r="44" spans="1:2" x14ac:dyDescent="0.3">
      <c r="A44" s="3">
        <v>92.71172</v>
      </c>
      <c r="B44">
        <v>104</v>
      </c>
    </row>
    <row r="45" spans="1:2" x14ac:dyDescent="0.3">
      <c r="A45" s="3">
        <v>78.757000000000005</v>
      </c>
      <c r="B45">
        <v>100</v>
      </c>
    </row>
    <row r="46" spans="1:2" x14ac:dyDescent="0.3">
      <c r="A46" s="3">
        <v>81.624600000000001</v>
      </c>
      <c r="B46">
        <v>98</v>
      </c>
    </row>
    <row r="47" spans="1:2" x14ac:dyDescent="0.3">
      <c r="A47" s="3">
        <v>109.84889</v>
      </c>
      <c r="B47">
        <v>100</v>
      </c>
    </row>
    <row r="48" spans="1:2" x14ac:dyDescent="0.3">
      <c r="A48" s="3">
        <v>124.8686</v>
      </c>
      <c r="B48">
        <v>96</v>
      </c>
    </row>
    <row r="49" spans="1:2" x14ac:dyDescent="0.3">
      <c r="A49" s="3">
        <v>130.78129999999999</v>
      </c>
      <c r="B49">
        <v>99</v>
      </c>
    </row>
    <row r="50" spans="1:2" x14ac:dyDescent="0.3">
      <c r="A50" s="3">
        <v>67.554500000000004</v>
      </c>
      <c r="B50">
        <v>97</v>
      </c>
    </row>
    <row r="51" spans="1:2" x14ac:dyDescent="0.3">
      <c r="A51" s="3">
        <v>123.1681</v>
      </c>
      <c r="B51">
        <v>99</v>
      </c>
    </row>
    <row r="52" spans="1:2" x14ac:dyDescent="0.3">
      <c r="A52" s="3">
        <v>115.0303</v>
      </c>
      <c r="B52">
        <v>98</v>
      </c>
    </row>
    <row r="53" spans="1:2" x14ac:dyDescent="0.3">
      <c r="A53" s="3">
        <v>99.171255000000002</v>
      </c>
      <c r="B53">
        <v>94</v>
      </c>
    </row>
    <row r="54" spans="1:2" x14ac:dyDescent="0.3">
      <c r="A54" s="3">
        <v>91.576310000000007</v>
      </c>
      <c r="B54">
        <v>93</v>
      </c>
    </row>
    <row r="55" spans="1:2" x14ac:dyDescent="0.3">
      <c r="A55" s="3">
        <v>103.7304</v>
      </c>
      <c r="B55">
        <v>91</v>
      </c>
    </row>
    <row r="56" spans="1:2" x14ac:dyDescent="0.3">
      <c r="A56" s="3">
        <v>99.146922000000004</v>
      </c>
      <c r="B56">
        <v>87</v>
      </c>
    </row>
    <row r="57" spans="1:2" x14ac:dyDescent="0.3">
      <c r="A57" s="3">
        <v>86.824100000000001</v>
      </c>
      <c r="B57">
        <v>83</v>
      </c>
    </row>
    <row r="58" spans="1:2" x14ac:dyDescent="0.3">
      <c r="A58" s="3">
        <v>78.481099999999998</v>
      </c>
      <c r="B58">
        <v>86</v>
      </c>
    </row>
    <row r="59" spans="1:2" x14ac:dyDescent="0.3">
      <c r="A59" s="3">
        <v>121.63040000000001</v>
      </c>
      <c r="B59">
        <v>83</v>
      </c>
    </row>
    <row r="60" spans="1:2" x14ac:dyDescent="0.3">
      <c r="A60" s="3">
        <v>117.3853</v>
      </c>
      <c r="B60">
        <v>85</v>
      </c>
    </row>
    <row r="61" spans="1:2" x14ac:dyDescent="0.3">
      <c r="A61" s="3">
        <v>97.772270000000006</v>
      </c>
      <c r="B61">
        <v>81</v>
      </c>
    </row>
    <row r="62" spans="1:2" x14ac:dyDescent="0.3">
      <c r="A62" s="3">
        <v>110.2996</v>
      </c>
      <c r="B62">
        <v>79</v>
      </c>
    </row>
    <row r="63" spans="1:2" x14ac:dyDescent="0.3">
      <c r="A63" s="3">
        <v>120.2383</v>
      </c>
      <c r="B63">
        <v>78</v>
      </c>
    </row>
    <row r="64" spans="1:2" x14ac:dyDescent="0.3">
      <c r="A64" s="3">
        <v>102.45668000000001</v>
      </c>
      <c r="B64">
        <v>82</v>
      </c>
    </row>
    <row r="65" spans="1:2" x14ac:dyDescent="0.3">
      <c r="A65" s="3">
        <v>113.02719999999999</v>
      </c>
      <c r="B65">
        <v>78</v>
      </c>
    </row>
    <row r="66" spans="1:2" x14ac:dyDescent="0.3">
      <c r="A66" s="3">
        <v>117.4678</v>
      </c>
      <c r="B66">
        <v>81</v>
      </c>
    </row>
    <row r="67" spans="1:2" x14ac:dyDescent="0.3">
      <c r="A67" s="3">
        <v>71.403400000000005</v>
      </c>
      <c r="B67">
        <v>83</v>
      </c>
    </row>
    <row r="68" spans="1:2" x14ac:dyDescent="0.3">
      <c r="A68" s="3">
        <v>81.845300000000009</v>
      </c>
      <c r="B68">
        <v>86</v>
      </c>
    </row>
    <row r="69" spans="1:2" x14ac:dyDescent="0.3">
      <c r="A69" s="3">
        <v>110.8626</v>
      </c>
      <c r="B69">
        <v>89</v>
      </c>
    </row>
    <row r="70" spans="1:2" x14ac:dyDescent="0.3">
      <c r="A70" s="3">
        <v>78.456800000000001</v>
      </c>
      <c r="B70">
        <v>94</v>
      </c>
    </row>
    <row r="71" spans="1:2" x14ac:dyDescent="0.3">
      <c r="A71" s="3">
        <v>83.776499999999999</v>
      </c>
      <c r="B71">
        <v>92</v>
      </c>
    </row>
    <row r="72" spans="1:2" x14ac:dyDescent="0.3">
      <c r="A72" s="3">
        <v>114.57689999999999</v>
      </c>
      <c r="B72">
        <v>96</v>
      </c>
    </row>
    <row r="73" spans="1:2" x14ac:dyDescent="0.3">
      <c r="A73" s="3">
        <v>74.971000000000004</v>
      </c>
      <c r="B73">
        <v>96</v>
      </c>
    </row>
    <row r="74" spans="1:2" x14ac:dyDescent="0.3">
      <c r="A74" s="3">
        <v>112.68899999999999</v>
      </c>
      <c r="B74">
        <v>99</v>
      </c>
    </row>
    <row r="75" spans="1:2" x14ac:dyDescent="0.3">
      <c r="A75" s="3">
        <v>94.745400000000004</v>
      </c>
      <c r="B75">
        <v>97</v>
      </c>
    </row>
    <row r="76" spans="1:2" x14ac:dyDescent="0.3">
      <c r="A76" s="3">
        <v>90.92407</v>
      </c>
      <c r="B76">
        <v>100</v>
      </c>
    </row>
    <row r="77" spans="1:2" x14ac:dyDescent="0.3">
      <c r="A77" s="3">
        <v>98.110659999999996</v>
      </c>
      <c r="B77">
        <v>96</v>
      </c>
    </row>
    <row r="78" spans="1:2" x14ac:dyDescent="0.3">
      <c r="A78" s="3">
        <v>88.9392</v>
      </c>
      <c r="B78">
        <v>101</v>
      </c>
    </row>
    <row r="79" spans="1:2" x14ac:dyDescent="0.3">
      <c r="A79" s="3">
        <v>90.566460000000006</v>
      </c>
      <c r="B79">
        <v>101</v>
      </c>
    </row>
    <row r="80" spans="1:2" x14ac:dyDescent="0.3">
      <c r="A80" s="3">
        <v>99.852708000000007</v>
      </c>
      <c r="B80">
        <v>102</v>
      </c>
    </row>
    <row r="81" spans="1:2" x14ac:dyDescent="0.3">
      <c r="A81" s="3">
        <v>102.31616</v>
      </c>
      <c r="B81">
        <v>101</v>
      </c>
    </row>
    <row r="82" spans="1:2" x14ac:dyDescent="0.3">
      <c r="A82" s="3">
        <v>113.8043</v>
      </c>
      <c r="B82">
        <v>98</v>
      </c>
    </row>
    <row r="83" spans="1:2" x14ac:dyDescent="0.3">
      <c r="A83" s="3">
        <v>104.87797999999999</v>
      </c>
      <c r="B83">
        <v>98</v>
      </c>
    </row>
    <row r="84" spans="1:2" x14ac:dyDescent="0.3">
      <c r="A84" s="3">
        <v>73.114499999999992</v>
      </c>
      <c r="B84">
        <v>94</v>
      </c>
    </row>
    <row r="85" spans="1:2" x14ac:dyDescent="0.3">
      <c r="A85" s="3">
        <v>75.753600000000006</v>
      </c>
      <c r="B85">
        <v>93</v>
      </c>
    </row>
    <row r="86" spans="1:2" x14ac:dyDescent="0.3">
      <c r="A86" s="3">
        <v>86.551299999999998</v>
      </c>
      <c r="B86">
        <v>96</v>
      </c>
    </row>
    <row r="87" spans="1:2" x14ac:dyDescent="0.3">
      <c r="A87" s="3">
        <v>106.28650999999999</v>
      </c>
      <c r="B87">
        <v>93</v>
      </c>
    </row>
    <row r="88" spans="1:2" x14ac:dyDescent="0.3">
      <c r="A88" s="3">
        <v>86.603200000000001</v>
      </c>
      <c r="B88">
        <v>89</v>
      </c>
    </row>
    <row r="89" spans="1:2" x14ac:dyDescent="0.3">
      <c r="A89" s="3">
        <v>119.5642</v>
      </c>
      <c r="B89">
        <v>87</v>
      </c>
    </row>
    <row r="90" spans="1:2" x14ac:dyDescent="0.3">
      <c r="A90" s="3">
        <v>108.47626</v>
      </c>
      <c r="B90">
        <v>92</v>
      </c>
    </row>
    <row r="91" spans="1:2" x14ac:dyDescent="0.3">
      <c r="A91" s="3">
        <v>105.94306</v>
      </c>
      <c r="B91">
        <v>91</v>
      </c>
    </row>
    <row r="92" spans="1:2" x14ac:dyDescent="0.3">
      <c r="A92" s="3">
        <v>78.250900000000001</v>
      </c>
      <c r="B92">
        <v>94</v>
      </c>
    </row>
    <row r="93" spans="1:2" x14ac:dyDescent="0.3">
      <c r="A93" s="3">
        <v>107.54918000000001</v>
      </c>
      <c r="B93">
        <v>95</v>
      </c>
    </row>
    <row r="94" spans="1:2" x14ac:dyDescent="0.3">
      <c r="A94" s="3">
        <v>104.90916</v>
      </c>
      <c r="B94">
        <v>93</v>
      </c>
    </row>
    <row r="95" spans="1:2" x14ac:dyDescent="0.3">
      <c r="A95" s="3">
        <v>105.82665</v>
      </c>
      <c r="B95">
        <v>90</v>
      </c>
    </row>
    <row r="96" spans="1:2" x14ac:dyDescent="0.3">
      <c r="A96" s="3">
        <v>96.986590000000007</v>
      </c>
      <c r="B96">
        <v>92</v>
      </c>
    </row>
    <row r="97" spans="1:2" x14ac:dyDescent="0.3">
      <c r="A97" s="3">
        <v>113.2124</v>
      </c>
      <c r="B97">
        <v>90</v>
      </c>
    </row>
    <row r="98" spans="1:2" x14ac:dyDescent="0.3">
      <c r="A98" s="3">
        <v>105.95694</v>
      </c>
      <c r="B98">
        <v>87</v>
      </c>
    </row>
    <row r="99" spans="1:2" x14ac:dyDescent="0.3">
      <c r="A99" s="3">
        <v>98.467550000000003</v>
      </c>
      <c r="B99">
        <v>85</v>
      </c>
    </row>
    <row r="100" spans="1:2" x14ac:dyDescent="0.3">
      <c r="A100" s="3">
        <v>92.535570000000007</v>
      </c>
      <c r="B100">
        <v>87</v>
      </c>
    </row>
    <row r="101" spans="1:2" x14ac:dyDescent="0.3">
      <c r="A101" s="3">
        <v>88.880700000000004</v>
      </c>
      <c r="B101">
        <v>83</v>
      </c>
    </row>
    <row r="102" spans="1:2" x14ac:dyDescent="0.3">
      <c r="A102" s="3">
        <v>96.219729999999998</v>
      </c>
      <c r="B102">
        <v>84</v>
      </c>
    </row>
    <row r="103" spans="1:2" x14ac:dyDescent="0.3">
      <c r="A103" s="3">
        <v>102.31968999999999</v>
      </c>
      <c r="B103">
        <v>82</v>
      </c>
    </row>
    <row r="104" spans="1:2" x14ac:dyDescent="0.3">
      <c r="A104" s="3">
        <v>87.999899999999997</v>
      </c>
      <c r="B104">
        <v>84</v>
      </c>
    </row>
    <row r="105" spans="1:2" x14ac:dyDescent="0.3">
      <c r="A105" s="3">
        <v>88.073099999999997</v>
      </c>
      <c r="B105">
        <v>81</v>
      </c>
    </row>
    <row r="106" spans="1:2" x14ac:dyDescent="0.3">
      <c r="A106" s="3">
        <v>102.50447</v>
      </c>
      <c r="B106">
        <v>84</v>
      </c>
    </row>
    <row r="107" spans="1:2" x14ac:dyDescent="0.3">
      <c r="A107" s="3">
        <v>79.496899999999997</v>
      </c>
      <c r="B107">
        <v>89</v>
      </c>
    </row>
    <row r="108" spans="1:2" x14ac:dyDescent="0.3">
      <c r="A108" s="3">
        <v>116.3843</v>
      </c>
      <c r="B108">
        <v>91</v>
      </c>
    </row>
    <row r="109" spans="1:2" x14ac:dyDescent="0.3">
      <c r="A109" s="3">
        <v>93.548820000000006</v>
      </c>
      <c r="B109">
        <v>88</v>
      </c>
    </row>
    <row r="110" spans="1:2" x14ac:dyDescent="0.3">
      <c r="A110" s="3">
        <v>83.0261</v>
      </c>
      <c r="B110">
        <v>84</v>
      </c>
    </row>
    <row r="111" spans="1:2" x14ac:dyDescent="0.3">
      <c r="A111" s="3">
        <v>99.411133000000007</v>
      </c>
      <c r="B111">
        <v>80</v>
      </c>
    </row>
    <row r="112" spans="1:2" x14ac:dyDescent="0.3">
      <c r="A112" s="3">
        <v>113.1931</v>
      </c>
      <c r="B112">
        <v>82</v>
      </c>
    </row>
    <row r="113" spans="1:2" x14ac:dyDescent="0.3">
      <c r="A113" s="3">
        <v>88.743799999999993</v>
      </c>
      <c r="B113">
        <v>85</v>
      </c>
    </row>
    <row r="114" spans="1:2" x14ac:dyDescent="0.3">
      <c r="A114" s="3">
        <v>116.8085</v>
      </c>
      <c r="B114">
        <v>84</v>
      </c>
    </row>
    <row r="115" spans="1:2" x14ac:dyDescent="0.3">
      <c r="A115" s="3">
        <v>101.63506</v>
      </c>
      <c r="B115">
        <v>87</v>
      </c>
    </row>
    <row r="116" spans="1:2" x14ac:dyDescent="0.3">
      <c r="A116" s="3">
        <v>89.545299999999997</v>
      </c>
      <c r="B116">
        <v>89</v>
      </c>
    </row>
    <row r="117" spans="1:2" x14ac:dyDescent="0.3">
      <c r="A117" s="3">
        <v>111.8535</v>
      </c>
      <c r="B117">
        <v>91</v>
      </c>
    </row>
    <row r="118" spans="1:2" x14ac:dyDescent="0.3">
      <c r="A118" s="3">
        <v>122.408</v>
      </c>
      <c r="B118">
        <v>88</v>
      </c>
    </row>
    <row r="119" spans="1:2" x14ac:dyDescent="0.3">
      <c r="A119" s="3">
        <v>77.427800000000005</v>
      </c>
      <c r="B119">
        <v>91</v>
      </c>
    </row>
    <row r="120" spans="1:2" x14ac:dyDescent="0.3">
      <c r="A120" s="3">
        <v>119.2877</v>
      </c>
      <c r="B120">
        <v>89</v>
      </c>
    </row>
    <row r="121" spans="1:2" x14ac:dyDescent="0.3">
      <c r="A121" s="3">
        <v>108.19275</v>
      </c>
      <c r="B121">
        <v>87</v>
      </c>
    </row>
    <row r="122" spans="1:2" x14ac:dyDescent="0.3">
      <c r="A122" s="3">
        <v>106.97692000000001</v>
      </c>
      <c r="B122">
        <v>92</v>
      </c>
    </row>
    <row r="123" spans="1:2" x14ac:dyDescent="0.3">
      <c r="A123" s="3">
        <v>106.35818</v>
      </c>
      <c r="B123">
        <v>93</v>
      </c>
    </row>
    <row r="124" spans="1:2" x14ac:dyDescent="0.3">
      <c r="A124" s="3">
        <v>112.2295</v>
      </c>
      <c r="B124">
        <v>98</v>
      </c>
    </row>
    <row r="125" spans="1:2" x14ac:dyDescent="0.3">
      <c r="A125" s="3">
        <v>88.701300000000003</v>
      </c>
      <c r="B125">
        <v>102</v>
      </c>
    </row>
    <row r="126" spans="1:2" x14ac:dyDescent="0.3">
      <c r="A126" s="3">
        <v>97.945009999999996</v>
      </c>
      <c r="B126">
        <v>100</v>
      </c>
    </row>
    <row r="127" spans="1:2" x14ac:dyDescent="0.3">
      <c r="A127" s="3">
        <v>96.155599999999993</v>
      </c>
      <c r="B127">
        <v>103</v>
      </c>
    </row>
    <row r="128" spans="1:2" x14ac:dyDescent="0.3">
      <c r="A128" s="3">
        <v>114.107</v>
      </c>
      <c r="B128">
        <v>108</v>
      </c>
    </row>
    <row r="129" spans="1:2" x14ac:dyDescent="0.3">
      <c r="A129" s="3">
        <v>112.3587</v>
      </c>
      <c r="B129">
        <v>109</v>
      </c>
    </row>
    <row r="130" spans="1:2" x14ac:dyDescent="0.3">
      <c r="A130" s="3">
        <v>112.67439999999999</v>
      </c>
      <c r="B130">
        <v>110</v>
      </c>
    </row>
    <row r="131" spans="1:2" x14ac:dyDescent="0.3">
      <c r="A131" s="3">
        <v>113.3784</v>
      </c>
      <c r="B131">
        <v>106</v>
      </c>
    </row>
    <row r="132" spans="1:2" x14ac:dyDescent="0.3">
      <c r="A132" s="3">
        <v>99.732770000000002</v>
      </c>
      <c r="B132">
        <v>110</v>
      </c>
    </row>
    <row r="133" spans="1:2" x14ac:dyDescent="0.3">
      <c r="A133" s="3">
        <v>106.45883000000001</v>
      </c>
      <c r="B133">
        <v>106</v>
      </c>
    </row>
    <row r="134" spans="1:2" x14ac:dyDescent="0.3">
      <c r="A134" s="3">
        <v>101.78928000000001</v>
      </c>
      <c r="B134">
        <v>102</v>
      </c>
    </row>
    <row r="135" spans="1:2" x14ac:dyDescent="0.3">
      <c r="A135" s="3">
        <v>98.382090000000005</v>
      </c>
      <c r="B135">
        <v>106</v>
      </c>
    </row>
    <row r="136" spans="1:2" x14ac:dyDescent="0.3">
      <c r="A136" s="3">
        <v>96.925420000000003</v>
      </c>
      <c r="B136">
        <v>102</v>
      </c>
    </row>
    <row r="137" spans="1:2" x14ac:dyDescent="0.3">
      <c r="A137" s="3">
        <v>94.192769999999996</v>
      </c>
      <c r="B137">
        <v>100</v>
      </c>
    </row>
    <row r="138" spans="1:2" x14ac:dyDescent="0.3">
      <c r="A138" s="3">
        <v>88.983599999999996</v>
      </c>
      <c r="B138">
        <v>101</v>
      </c>
    </row>
    <row r="139" spans="1:2" x14ac:dyDescent="0.3">
      <c r="A139" s="3">
        <v>86.206699999999998</v>
      </c>
      <c r="B139">
        <v>104</v>
      </c>
    </row>
    <row r="140" spans="1:2" x14ac:dyDescent="0.3">
      <c r="A140" s="3">
        <v>105.47575999999999</v>
      </c>
      <c r="B140">
        <v>113</v>
      </c>
    </row>
    <row r="141" spans="1:2" x14ac:dyDescent="0.3">
      <c r="A141" s="3">
        <v>91.849360000000004</v>
      </c>
      <c r="B141">
        <v>112</v>
      </c>
    </row>
    <row r="142" spans="1:2" x14ac:dyDescent="0.3">
      <c r="A142" s="3">
        <v>99.966466100000005</v>
      </c>
      <c r="B142">
        <v>116</v>
      </c>
    </row>
    <row r="143" spans="1:2" x14ac:dyDescent="0.3">
      <c r="A143" s="3">
        <v>112.3844</v>
      </c>
      <c r="B143">
        <v>116</v>
      </c>
    </row>
    <row r="144" spans="1:2" x14ac:dyDescent="0.3">
      <c r="A144" s="3">
        <v>82.222999999999999</v>
      </c>
      <c r="B144">
        <v>114</v>
      </c>
    </row>
    <row r="145" spans="1:2" x14ac:dyDescent="0.3">
      <c r="A145" s="3">
        <v>110.96940000000001</v>
      </c>
      <c r="B145">
        <v>113</v>
      </c>
    </row>
    <row r="146" spans="1:2" x14ac:dyDescent="0.3">
      <c r="A146" s="3">
        <v>121.92619999999999</v>
      </c>
      <c r="B146">
        <v>118</v>
      </c>
    </row>
    <row r="147" spans="1:2" x14ac:dyDescent="0.3">
      <c r="A147" s="3">
        <v>104.55372</v>
      </c>
      <c r="B147">
        <v>121</v>
      </c>
    </row>
    <row r="148" spans="1:2" x14ac:dyDescent="0.3">
      <c r="A148" s="3">
        <v>93.396699999999996</v>
      </c>
      <c r="B148">
        <v>119</v>
      </c>
    </row>
    <row r="149" spans="1:2" x14ac:dyDescent="0.3">
      <c r="A149" s="3">
        <v>102.24298</v>
      </c>
      <c r="B149">
        <v>117</v>
      </c>
    </row>
    <row r="150" spans="1:2" x14ac:dyDescent="0.3">
      <c r="A150" s="3">
        <v>102.78706</v>
      </c>
      <c r="B150">
        <v>117</v>
      </c>
    </row>
    <row r="151" spans="1:2" x14ac:dyDescent="0.3">
      <c r="A151" s="3">
        <v>102.70108999999999</v>
      </c>
      <c r="B151">
        <v>113</v>
      </c>
    </row>
    <row r="152" spans="1:2" x14ac:dyDescent="0.3">
      <c r="A152" s="3">
        <v>89.984099999999998</v>
      </c>
      <c r="B152">
        <v>115</v>
      </c>
    </row>
    <row r="153" spans="1:2" x14ac:dyDescent="0.3">
      <c r="A153" s="3">
        <v>100.456701</v>
      </c>
      <c r="B153">
        <v>112</v>
      </c>
    </row>
    <row r="154" spans="1:2" x14ac:dyDescent="0.3">
      <c r="A154" s="3">
        <v>89.235399999999998</v>
      </c>
      <c r="B154">
        <v>116</v>
      </c>
    </row>
    <row r="155" spans="1:2" x14ac:dyDescent="0.3">
      <c r="A155" s="3">
        <v>102.27249</v>
      </c>
      <c r="B155">
        <v>117</v>
      </c>
    </row>
    <row r="156" spans="1:2" x14ac:dyDescent="0.3">
      <c r="A156" s="3">
        <v>94.032259999999994</v>
      </c>
      <c r="B156">
        <v>118</v>
      </c>
    </row>
    <row r="157" spans="1:2" x14ac:dyDescent="0.3">
      <c r="A157" s="3">
        <v>115.7869</v>
      </c>
      <c r="B157">
        <v>120</v>
      </c>
    </row>
    <row r="158" spans="1:2" x14ac:dyDescent="0.3">
      <c r="A158" s="3">
        <v>87.516199999999998</v>
      </c>
      <c r="B158">
        <v>119</v>
      </c>
    </row>
    <row r="159" spans="1:2" x14ac:dyDescent="0.3">
      <c r="A159" s="3">
        <v>105.50844000000001</v>
      </c>
      <c r="B159">
        <v>115</v>
      </c>
    </row>
    <row r="160" spans="1:2" x14ac:dyDescent="0.3">
      <c r="A160" s="3">
        <v>107.46526</v>
      </c>
      <c r="B160">
        <v>120</v>
      </c>
    </row>
    <row r="161" spans="1:2" x14ac:dyDescent="0.3">
      <c r="A161" s="3">
        <v>125.45869999999999</v>
      </c>
      <c r="B161">
        <v>127</v>
      </c>
    </row>
    <row r="162" spans="1:2" x14ac:dyDescent="0.3">
      <c r="A162" s="3">
        <v>104.93826</v>
      </c>
      <c r="B162">
        <v>123</v>
      </c>
    </row>
    <row r="163" spans="1:2" x14ac:dyDescent="0.3">
      <c r="A163" s="3">
        <v>103.47772999999999</v>
      </c>
      <c r="B163">
        <v>124</v>
      </c>
    </row>
    <row r="164" spans="1:2" x14ac:dyDescent="0.3">
      <c r="A164" s="3">
        <v>81.780500000000004</v>
      </c>
      <c r="B164">
        <v>126</v>
      </c>
    </row>
    <row r="165" spans="1:2" x14ac:dyDescent="0.3">
      <c r="A165" s="3">
        <v>99.344707999999997</v>
      </c>
      <c r="B165">
        <v>128</v>
      </c>
    </row>
    <row r="166" spans="1:2" x14ac:dyDescent="0.3">
      <c r="A166" s="3">
        <v>94.752340000000004</v>
      </c>
      <c r="B166">
        <v>127</v>
      </c>
    </row>
    <row r="167" spans="1:2" x14ac:dyDescent="0.3">
      <c r="A167" s="3">
        <v>100.37894799999999</v>
      </c>
      <c r="B167">
        <v>131</v>
      </c>
    </row>
    <row r="168" spans="1:2" x14ac:dyDescent="0.3">
      <c r="A168" s="3">
        <v>104.25999</v>
      </c>
      <c r="B168">
        <v>128</v>
      </c>
    </row>
    <row r="169" spans="1:2" x14ac:dyDescent="0.3">
      <c r="A169" s="3">
        <v>95.283240000000006</v>
      </c>
      <c r="B169">
        <v>125</v>
      </c>
    </row>
    <row r="170" spans="1:2" x14ac:dyDescent="0.3">
      <c r="A170" s="3">
        <v>107.14013</v>
      </c>
      <c r="B170">
        <v>130</v>
      </c>
    </row>
    <row r="171" spans="1:2" x14ac:dyDescent="0.3">
      <c r="A171" s="3">
        <v>98.653490000000005</v>
      </c>
      <c r="B171">
        <v>127</v>
      </c>
    </row>
    <row r="172" spans="1:2" x14ac:dyDescent="0.3">
      <c r="A172" s="3">
        <v>99.318037000000004</v>
      </c>
      <c r="B172">
        <v>127</v>
      </c>
    </row>
    <row r="173" spans="1:2" x14ac:dyDescent="0.3">
      <c r="A173" s="3">
        <v>99.894075000000001</v>
      </c>
      <c r="B173">
        <v>126</v>
      </c>
    </row>
    <row r="174" spans="1:2" x14ac:dyDescent="0.3">
      <c r="A174" s="3">
        <v>107.53309</v>
      </c>
      <c r="B174">
        <v>127</v>
      </c>
    </row>
    <row r="175" spans="1:2" x14ac:dyDescent="0.3">
      <c r="A175" s="3">
        <v>103.47309</v>
      </c>
      <c r="B175">
        <v>130</v>
      </c>
    </row>
    <row r="176" spans="1:2" x14ac:dyDescent="0.3">
      <c r="A176" s="3">
        <v>110.6841</v>
      </c>
      <c r="B176">
        <v>127</v>
      </c>
    </row>
    <row r="177" spans="1:2" x14ac:dyDescent="0.3">
      <c r="A177" s="3">
        <v>113.8407</v>
      </c>
      <c r="B177">
        <v>125</v>
      </c>
    </row>
    <row r="178" spans="1:2" x14ac:dyDescent="0.3">
      <c r="A178" s="3">
        <v>116.35939999999999</v>
      </c>
      <c r="B178">
        <v>126</v>
      </c>
    </row>
    <row r="179" spans="1:2" x14ac:dyDescent="0.3">
      <c r="A179" s="3">
        <v>115.1277</v>
      </c>
      <c r="B179">
        <v>125</v>
      </c>
    </row>
    <row r="180" spans="1:2" x14ac:dyDescent="0.3">
      <c r="A180" s="3">
        <v>85.096699999999998</v>
      </c>
      <c r="B180">
        <v>130</v>
      </c>
    </row>
    <row r="181" spans="1:2" x14ac:dyDescent="0.3">
      <c r="A181" s="3">
        <v>90.846059999999994</v>
      </c>
      <c r="B181">
        <v>137</v>
      </c>
    </row>
    <row r="182" spans="1:2" x14ac:dyDescent="0.3">
      <c r="A182" s="3">
        <v>88.033100000000005</v>
      </c>
      <c r="B182">
        <v>136</v>
      </c>
    </row>
    <row r="183" spans="1:2" x14ac:dyDescent="0.3">
      <c r="A183" s="3">
        <v>84.857500000000002</v>
      </c>
      <c r="B183">
        <v>137</v>
      </c>
    </row>
    <row r="184" spans="1:2" x14ac:dyDescent="0.3">
      <c r="A184" s="3">
        <v>92.293899999999994</v>
      </c>
      <c r="B184">
        <v>134</v>
      </c>
    </row>
    <row r="185" spans="1:2" x14ac:dyDescent="0.3">
      <c r="A185" s="3">
        <v>89.883800000000008</v>
      </c>
      <c r="B185">
        <v>138</v>
      </c>
    </row>
    <row r="186" spans="1:2" x14ac:dyDescent="0.3">
      <c r="A186" s="3">
        <v>120.68090000000001</v>
      </c>
      <c r="B186">
        <v>136</v>
      </c>
    </row>
    <row r="187" spans="1:2" x14ac:dyDescent="0.3">
      <c r="A187" s="3">
        <v>127.1754</v>
      </c>
      <c r="B187">
        <v>136</v>
      </c>
    </row>
    <row r="188" spans="1:2" x14ac:dyDescent="0.3">
      <c r="A188" s="3">
        <v>101.86342999999999</v>
      </c>
      <c r="B188">
        <v>138</v>
      </c>
    </row>
    <row r="189" spans="1:2" x14ac:dyDescent="0.3">
      <c r="A189" s="3">
        <v>101.82441</v>
      </c>
      <c r="B189">
        <v>139</v>
      </c>
    </row>
    <row r="190" spans="1:2" x14ac:dyDescent="0.3">
      <c r="A190" s="3">
        <v>98.593530000000001</v>
      </c>
      <c r="B190">
        <v>138</v>
      </c>
    </row>
    <row r="191" spans="1:2" x14ac:dyDescent="0.3">
      <c r="A191" s="3">
        <v>96.492400000000004</v>
      </c>
      <c r="B191">
        <v>139</v>
      </c>
    </row>
    <row r="192" spans="1:2" x14ac:dyDescent="0.3">
      <c r="A192" s="3">
        <v>98.557019999999994</v>
      </c>
      <c r="B192">
        <v>137</v>
      </c>
    </row>
    <row r="193" spans="1:2" x14ac:dyDescent="0.3">
      <c r="A193" s="3">
        <v>125.3532</v>
      </c>
      <c r="B193">
        <v>133</v>
      </c>
    </row>
    <row r="194" spans="1:2" x14ac:dyDescent="0.3">
      <c r="A194" s="3">
        <v>93.2273</v>
      </c>
      <c r="B194">
        <v>130</v>
      </c>
    </row>
    <row r="195" spans="1:2" x14ac:dyDescent="0.3">
      <c r="A195" s="3">
        <v>95.932330000000007</v>
      </c>
      <c r="B195">
        <v>127</v>
      </c>
    </row>
    <row r="196" spans="1:2" x14ac:dyDescent="0.3">
      <c r="A196" s="3">
        <v>90.247249999999994</v>
      </c>
      <c r="B196">
        <v>126</v>
      </c>
    </row>
    <row r="197" spans="1:2" x14ac:dyDescent="0.3">
      <c r="A197" s="3">
        <v>95.374439999999993</v>
      </c>
      <c r="B197">
        <v>128</v>
      </c>
    </row>
    <row r="198" spans="1:2" x14ac:dyDescent="0.3">
      <c r="A198" s="3">
        <v>100.183376</v>
      </c>
      <c r="B198">
        <v>127</v>
      </c>
    </row>
    <row r="199" spans="1:2" x14ac:dyDescent="0.3">
      <c r="A199" s="3">
        <v>88.977800000000002</v>
      </c>
      <c r="B199">
        <v>123</v>
      </c>
    </row>
    <row r="200" spans="1:2" x14ac:dyDescent="0.3">
      <c r="A200" s="3">
        <v>107.25045</v>
      </c>
      <c r="B200">
        <v>128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7"/>
  <sheetViews>
    <sheetView zoomScale="90" zoomScaleNormal="90" workbookViewId="0">
      <selection activeCell="V24" sqref="V24"/>
    </sheetView>
  </sheetViews>
  <sheetFormatPr defaultRowHeight="14.4" x14ac:dyDescent="0.3"/>
  <cols>
    <col min="1" max="1" width="12.5546875" customWidth="1"/>
    <col min="12" max="12" width="15.21875" customWidth="1"/>
  </cols>
  <sheetData>
    <row r="1" spans="1:40" ht="16.2" x14ac:dyDescent="0.3">
      <c r="A1" t="s">
        <v>4</v>
      </c>
      <c r="B1" t="s">
        <v>5</v>
      </c>
      <c r="L1">
        <v>0.5</v>
      </c>
      <c r="M1">
        <v>1</v>
      </c>
      <c r="O1">
        <v>3E-10</v>
      </c>
      <c r="Z1" t="s">
        <v>106</v>
      </c>
      <c r="AA1" t="s">
        <v>107</v>
      </c>
      <c r="AB1" t="s">
        <v>108</v>
      </c>
      <c r="AC1" s="10"/>
      <c r="AK1" t="s">
        <v>106</v>
      </c>
      <c r="AL1" t="s">
        <v>113</v>
      </c>
      <c r="AM1" t="s">
        <v>112</v>
      </c>
    </row>
    <row r="2" spans="1:40" x14ac:dyDescent="0.3">
      <c r="A2" s="4">
        <v>36251</v>
      </c>
      <c r="B2">
        <v>81.31</v>
      </c>
      <c r="D2" t="s">
        <v>6</v>
      </c>
      <c r="K2">
        <v>1</v>
      </c>
      <c r="L2">
        <f>$L$1+$M$1*K2</f>
        <v>1.5</v>
      </c>
      <c r="O2">
        <v>4.9999999999999998E-7</v>
      </c>
      <c r="Z2">
        <v>1</v>
      </c>
      <c r="AA2">
        <f>$AB$2+$AB$3*$AB$4^Z2</f>
        <v>0.12999999999999989</v>
      </c>
      <c r="AB2">
        <v>2</v>
      </c>
      <c r="AC2" t="s">
        <v>109</v>
      </c>
      <c r="AK2">
        <v>1</v>
      </c>
      <c r="AL2">
        <f>1/($AM$2+($AM$3*$AM$4^AK2))</f>
        <v>1.9992003198720512E-4</v>
      </c>
      <c r="AM2">
        <v>2</v>
      </c>
      <c r="AN2" t="s">
        <v>109</v>
      </c>
    </row>
    <row r="3" spans="1:40" x14ac:dyDescent="0.3">
      <c r="A3" s="4">
        <v>36283</v>
      </c>
      <c r="B3">
        <v>80.69</v>
      </c>
      <c r="K3">
        <v>2</v>
      </c>
      <c r="L3">
        <f t="shared" ref="L3:L11" si="0">$L$1+$M$1*K3</f>
        <v>2.5</v>
      </c>
      <c r="O3">
        <v>6.0000000000000002E-5</v>
      </c>
      <c r="Z3">
        <v>2</v>
      </c>
      <c r="AA3">
        <f t="shared" ref="AA3:AA26" si="1">$AB$2+$AB$3*$AB$4^Z3</f>
        <v>0.41050000000000009</v>
      </c>
      <c r="AB3">
        <v>-2.2000000000000002</v>
      </c>
      <c r="AC3" t="s">
        <v>110</v>
      </c>
      <c r="AK3">
        <v>2</v>
      </c>
      <c r="AL3">
        <f t="shared" ref="AL3:AL26" si="2">1/($AM$2+($AM$3*$AM$4^AK3))</f>
        <v>3.996802557953637E-4</v>
      </c>
      <c r="AM3">
        <v>10000</v>
      </c>
      <c r="AN3" t="s">
        <v>110</v>
      </c>
    </row>
    <row r="4" spans="1:40" x14ac:dyDescent="0.3">
      <c r="A4" s="4">
        <v>36312</v>
      </c>
      <c r="B4">
        <v>90.19</v>
      </c>
      <c r="K4">
        <v>3</v>
      </c>
      <c r="L4">
        <f t="shared" si="0"/>
        <v>3.5</v>
      </c>
      <c r="Z4">
        <v>3</v>
      </c>
      <c r="AA4">
        <f t="shared" si="1"/>
        <v>0.64892499999999997</v>
      </c>
      <c r="AB4">
        <v>0.85</v>
      </c>
      <c r="AC4" t="s">
        <v>111</v>
      </c>
      <c r="AK4">
        <v>3</v>
      </c>
      <c r="AL4">
        <f t="shared" si="2"/>
        <v>7.9872204472843447E-4</v>
      </c>
      <c r="AM4">
        <v>0.5</v>
      </c>
      <c r="AN4" t="s">
        <v>111</v>
      </c>
    </row>
    <row r="5" spans="1:40" x14ac:dyDescent="0.3">
      <c r="A5" s="4">
        <v>36342</v>
      </c>
      <c r="B5">
        <v>85.81</v>
      </c>
      <c r="K5">
        <v>4</v>
      </c>
      <c r="L5">
        <f t="shared" si="0"/>
        <v>4.5</v>
      </c>
      <c r="Z5">
        <v>4</v>
      </c>
      <c r="AA5">
        <f t="shared" si="1"/>
        <v>0.85158625000000021</v>
      </c>
      <c r="AK5">
        <v>4</v>
      </c>
      <c r="AL5">
        <f t="shared" si="2"/>
        <v>1.594896331738437E-3</v>
      </c>
    </row>
    <row r="6" spans="1:40" x14ac:dyDescent="0.3">
      <c r="A6" s="4">
        <v>36374</v>
      </c>
      <c r="B6">
        <v>92.56</v>
      </c>
      <c r="K6">
        <v>5</v>
      </c>
      <c r="L6">
        <f t="shared" si="0"/>
        <v>5.5</v>
      </c>
      <c r="Z6">
        <v>5</v>
      </c>
      <c r="AA6">
        <f t="shared" si="1"/>
        <v>1.0238483125000002</v>
      </c>
      <c r="AK6">
        <v>5</v>
      </c>
      <c r="AL6">
        <f t="shared" si="2"/>
        <v>3.1796502384737681E-3</v>
      </c>
    </row>
    <row r="7" spans="1:40" x14ac:dyDescent="0.3">
      <c r="A7" s="4">
        <v>36404</v>
      </c>
      <c r="B7">
        <v>90.56</v>
      </c>
      <c r="K7">
        <v>6</v>
      </c>
      <c r="L7">
        <f t="shared" si="0"/>
        <v>6.5</v>
      </c>
      <c r="O7">
        <f>EXP(1)</f>
        <v>2.7182818284590451</v>
      </c>
      <c r="Z7">
        <v>6</v>
      </c>
      <c r="AA7">
        <f t="shared" si="1"/>
        <v>1.1702710656250002</v>
      </c>
      <c r="AK7">
        <v>6</v>
      </c>
      <c r="AL7">
        <f t="shared" si="2"/>
        <v>6.3191153238546603E-3</v>
      </c>
    </row>
    <row r="8" spans="1:40" x14ac:dyDescent="0.3">
      <c r="A8" s="4">
        <v>36434</v>
      </c>
      <c r="B8">
        <v>92.56</v>
      </c>
      <c r="K8">
        <v>7</v>
      </c>
      <c r="L8">
        <f t="shared" si="0"/>
        <v>7.5</v>
      </c>
      <c r="O8">
        <f>LN(O7)</f>
        <v>1</v>
      </c>
      <c r="Z8">
        <v>7</v>
      </c>
      <c r="AA8">
        <f t="shared" si="1"/>
        <v>1.2947304057812503</v>
      </c>
      <c r="AK8">
        <v>7</v>
      </c>
      <c r="AL8">
        <f t="shared" si="2"/>
        <v>1.2480499219968799E-2</v>
      </c>
    </row>
    <row r="9" spans="1:40" x14ac:dyDescent="0.3">
      <c r="A9" s="4">
        <v>36465</v>
      </c>
      <c r="B9">
        <v>91.05</v>
      </c>
      <c r="K9">
        <v>8</v>
      </c>
      <c r="L9">
        <f t="shared" si="0"/>
        <v>8.5</v>
      </c>
      <c r="Z9">
        <v>8</v>
      </c>
      <c r="AA9">
        <f t="shared" si="1"/>
        <v>1.4005208449140627</v>
      </c>
      <c r="AK9">
        <v>8</v>
      </c>
      <c r="AL9">
        <f t="shared" si="2"/>
        <v>2.4353120243531201E-2</v>
      </c>
    </row>
    <row r="10" spans="1:40" x14ac:dyDescent="0.3">
      <c r="A10" s="4">
        <v>36495</v>
      </c>
      <c r="B10">
        <v>116.75</v>
      </c>
      <c r="K10">
        <v>9</v>
      </c>
      <c r="L10">
        <f t="shared" si="0"/>
        <v>9.5</v>
      </c>
      <c r="Z10">
        <v>9</v>
      </c>
      <c r="AA10">
        <f t="shared" si="1"/>
        <v>1.4904427181769533</v>
      </c>
      <c r="AK10">
        <v>9</v>
      </c>
      <c r="AL10">
        <f t="shared" si="2"/>
        <v>4.6444121915820029E-2</v>
      </c>
    </row>
    <row r="11" spans="1:40" x14ac:dyDescent="0.3">
      <c r="A11" s="4">
        <v>36528</v>
      </c>
      <c r="B11">
        <v>97.87</v>
      </c>
      <c r="K11">
        <v>10</v>
      </c>
      <c r="L11">
        <f t="shared" si="0"/>
        <v>10.5</v>
      </c>
      <c r="Z11">
        <v>10</v>
      </c>
      <c r="AA11">
        <f t="shared" si="1"/>
        <v>1.5668763104504104</v>
      </c>
      <c r="AK11">
        <v>10</v>
      </c>
      <c r="AL11">
        <f t="shared" si="2"/>
        <v>8.4993359893758294E-2</v>
      </c>
    </row>
    <row r="12" spans="1:40" x14ac:dyDescent="0.3">
      <c r="A12" s="4">
        <v>36557</v>
      </c>
      <c r="B12">
        <v>89.37</v>
      </c>
      <c r="Z12">
        <v>11</v>
      </c>
      <c r="AA12">
        <f t="shared" si="1"/>
        <v>1.6318448638828489</v>
      </c>
      <c r="AK12">
        <v>11</v>
      </c>
      <c r="AL12">
        <f t="shared" si="2"/>
        <v>0.1452894438138479</v>
      </c>
    </row>
    <row r="13" spans="1:40" x14ac:dyDescent="0.3">
      <c r="A13" s="4">
        <v>36586</v>
      </c>
      <c r="B13">
        <v>106.25</v>
      </c>
      <c r="Z13">
        <v>12</v>
      </c>
      <c r="AA13">
        <f t="shared" si="1"/>
        <v>1.6870681343004215</v>
      </c>
      <c r="AK13">
        <v>12</v>
      </c>
      <c r="AL13">
        <f t="shared" si="2"/>
        <v>0.22515391380826738</v>
      </c>
    </row>
    <row r="14" spans="1:40" x14ac:dyDescent="0.3">
      <c r="A14" s="4">
        <v>36619</v>
      </c>
      <c r="B14">
        <v>69.75</v>
      </c>
      <c r="Z14">
        <v>13</v>
      </c>
      <c r="AA14">
        <f t="shared" si="1"/>
        <v>1.7340079141553582</v>
      </c>
      <c r="AK14">
        <v>13</v>
      </c>
      <c r="AL14">
        <f t="shared" si="2"/>
        <v>0.31049120679199516</v>
      </c>
    </row>
    <row r="15" spans="1:40" x14ac:dyDescent="0.3">
      <c r="A15" s="4">
        <v>36647</v>
      </c>
      <c r="B15">
        <v>62.56</v>
      </c>
      <c r="Z15">
        <v>14</v>
      </c>
      <c r="AA15">
        <f t="shared" si="1"/>
        <v>1.7739067270320545</v>
      </c>
      <c r="AK15">
        <v>14</v>
      </c>
      <c r="AL15">
        <f t="shared" si="2"/>
        <v>0.38309016086793862</v>
      </c>
    </row>
    <row r="16" spans="1:40" x14ac:dyDescent="0.3">
      <c r="A16" s="4">
        <v>36678</v>
      </c>
      <c r="B16">
        <v>80</v>
      </c>
      <c r="Z16">
        <v>15</v>
      </c>
      <c r="AA16">
        <f t="shared" si="1"/>
        <v>1.8078207179772463</v>
      </c>
      <c r="AK16">
        <v>15</v>
      </c>
      <c r="AL16">
        <f t="shared" si="2"/>
        <v>0.43380639694979878</v>
      </c>
    </row>
    <row r="17" spans="1:38" x14ac:dyDescent="0.3">
      <c r="A17" s="4">
        <v>36710</v>
      </c>
      <c r="B17">
        <v>69.81</v>
      </c>
      <c r="Z17">
        <v>16</v>
      </c>
      <c r="AA17">
        <f t="shared" si="1"/>
        <v>1.8366476102806595</v>
      </c>
      <c r="AK17">
        <v>16</v>
      </c>
      <c r="AL17">
        <f t="shared" si="2"/>
        <v>0.46455710559147101</v>
      </c>
    </row>
    <row r="18" spans="1:38" x14ac:dyDescent="0.3">
      <c r="A18" s="4">
        <v>36739</v>
      </c>
      <c r="B18">
        <v>69.81</v>
      </c>
      <c r="Z18">
        <v>17</v>
      </c>
      <c r="AA18">
        <f t="shared" si="1"/>
        <v>1.8611504687385605</v>
      </c>
      <c r="AK18">
        <v>17</v>
      </c>
      <c r="AL18">
        <f t="shared" si="2"/>
        <v>0.48162737374331238</v>
      </c>
    </row>
    <row r="19" spans="1:38" x14ac:dyDescent="0.3">
      <c r="A19" s="4">
        <v>36770</v>
      </c>
      <c r="B19">
        <v>60.31</v>
      </c>
      <c r="Z19">
        <v>18</v>
      </c>
      <c r="AA19">
        <f t="shared" si="1"/>
        <v>1.8819778984277764</v>
      </c>
      <c r="AK19">
        <v>18</v>
      </c>
      <c r="AL19">
        <f t="shared" si="2"/>
        <v>0.49064175126523524</v>
      </c>
    </row>
    <row r="20" spans="1:38" x14ac:dyDescent="0.3">
      <c r="A20" s="4">
        <v>36801</v>
      </c>
      <c r="B20">
        <v>68.87</v>
      </c>
      <c r="Z20">
        <v>19</v>
      </c>
      <c r="AA20">
        <f t="shared" si="1"/>
        <v>1.8996812136636099</v>
      </c>
      <c r="AK20">
        <v>19</v>
      </c>
      <c r="AL20">
        <f t="shared" si="2"/>
        <v>0.495276673569021</v>
      </c>
    </row>
    <row r="21" spans="1:38" x14ac:dyDescent="0.3">
      <c r="A21" s="4">
        <v>36831</v>
      </c>
      <c r="B21">
        <v>57.38</v>
      </c>
      <c r="Z21">
        <v>20</v>
      </c>
      <c r="AA21">
        <f t="shared" si="1"/>
        <v>1.9147290316140684</v>
      </c>
      <c r="AK21">
        <v>20</v>
      </c>
      <c r="AL21">
        <f t="shared" si="2"/>
        <v>0.49762712893991512</v>
      </c>
    </row>
    <row r="22" spans="1:38" x14ac:dyDescent="0.3">
      <c r="A22" s="4">
        <v>36861</v>
      </c>
      <c r="B22">
        <v>43.38</v>
      </c>
      <c r="Z22">
        <v>21</v>
      </c>
      <c r="AA22">
        <f t="shared" si="1"/>
        <v>1.9275196768719582</v>
      </c>
      <c r="AK22">
        <v>21</v>
      </c>
      <c r="AL22">
        <f t="shared" si="2"/>
        <v>0.49881074251528912</v>
      </c>
    </row>
    <row r="23" spans="1:38" x14ac:dyDescent="0.3">
      <c r="A23" s="4">
        <v>36893</v>
      </c>
      <c r="B23">
        <v>61.06</v>
      </c>
      <c r="Z23">
        <v>22</v>
      </c>
      <c r="AA23">
        <f t="shared" si="1"/>
        <v>1.9383917253411644</v>
      </c>
      <c r="AK23">
        <v>22</v>
      </c>
      <c r="AL23">
        <f t="shared" si="2"/>
        <v>0.49940466324895744</v>
      </c>
    </row>
    <row r="24" spans="1:38" x14ac:dyDescent="0.3">
      <c r="A24" s="4">
        <v>36923</v>
      </c>
      <c r="B24">
        <v>59</v>
      </c>
      <c r="Z24">
        <v>23</v>
      </c>
      <c r="AA24">
        <f t="shared" si="1"/>
        <v>1.9476329665399899</v>
      </c>
      <c r="AK24">
        <v>23</v>
      </c>
      <c r="AL24">
        <f t="shared" si="2"/>
        <v>0.49970215430599096</v>
      </c>
    </row>
    <row r="25" spans="1:38" x14ac:dyDescent="0.3">
      <c r="A25" s="4">
        <v>36951</v>
      </c>
      <c r="B25">
        <v>54.69</v>
      </c>
      <c r="L25" t="s">
        <v>7</v>
      </c>
      <c r="M25" t="s">
        <v>133</v>
      </c>
      <c r="Z25">
        <v>24</v>
      </c>
      <c r="AA25">
        <f t="shared" si="1"/>
        <v>1.9554880215589914</v>
      </c>
      <c r="AK25">
        <v>24</v>
      </c>
      <c r="AL25">
        <f t="shared" si="2"/>
        <v>0.49985103278375154</v>
      </c>
    </row>
    <row r="26" spans="1:38" x14ac:dyDescent="0.3">
      <c r="A26" s="4">
        <v>36983</v>
      </c>
      <c r="B26">
        <v>67.75</v>
      </c>
      <c r="L26" t="s">
        <v>8</v>
      </c>
      <c r="M26" t="s">
        <v>134</v>
      </c>
      <c r="Z26">
        <v>25</v>
      </c>
      <c r="AA26">
        <f t="shared" si="1"/>
        <v>1.9621648183251426</v>
      </c>
      <c r="AK26">
        <v>25</v>
      </c>
      <c r="AL26">
        <f t="shared" si="2"/>
        <v>0.49992550529460689</v>
      </c>
    </row>
    <row r="27" spans="1:38" ht="16.2" x14ac:dyDescent="0.3">
      <c r="A27" s="4">
        <v>37012</v>
      </c>
      <c r="B27">
        <v>69.180000000000007</v>
      </c>
      <c r="L27" t="s">
        <v>9</v>
      </c>
      <c r="M27" t="s">
        <v>10</v>
      </c>
    </row>
    <row r="28" spans="1:38" ht="16.2" x14ac:dyDescent="0.3">
      <c r="A28" s="4">
        <v>37043</v>
      </c>
      <c r="B28">
        <v>73</v>
      </c>
      <c r="L28" t="s">
        <v>11</v>
      </c>
      <c r="M28" t="s">
        <v>12</v>
      </c>
    </row>
    <row r="29" spans="1:38" ht="16.2" x14ac:dyDescent="0.3">
      <c r="A29" s="4">
        <v>37074</v>
      </c>
      <c r="B29">
        <v>66.19</v>
      </c>
      <c r="L29" t="s">
        <v>13</v>
      </c>
      <c r="M29" t="s">
        <v>14</v>
      </c>
    </row>
    <row r="30" spans="1:38" ht="16.2" x14ac:dyDescent="0.3">
      <c r="A30" s="4">
        <v>37104</v>
      </c>
      <c r="B30">
        <v>57.05</v>
      </c>
      <c r="L30" t="s">
        <v>15</v>
      </c>
      <c r="M30" t="s">
        <v>16</v>
      </c>
    </row>
    <row r="31" spans="1:38" ht="16.2" x14ac:dyDescent="0.3">
      <c r="A31" s="4">
        <v>37138</v>
      </c>
      <c r="B31">
        <v>51.17</v>
      </c>
      <c r="L31" t="s">
        <v>17</v>
      </c>
      <c r="M31" t="s">
        <v>18</v>
      </c>
    </row>
    <row r="32" spans="1:38" x14ac:dyDescent="0.3">
      <c r="A32" s="4">
        <v>37165</v>
      </c>
      <c r="B32">
        <v>58.15</v>
      </c>
    </row>
    <row r="33" spans="1:2" x14ac:dyDescent="0.3">
      <c r="A33" s="4">
        <v>37196</v>
      </c>
      <c r="B33">
        <v>64.209999999999994</v>
      </c>
    </row>
    <row r="34" spans="1:2" x14ac:dyDescent="0.3">
      <c r="A34" s="4">
        <v>37228</v>
      </c>
      <c r="B34">
        <v>66.25</v>
      </c>
    </row>
    <row r="35" spans="1:2" x14ac:dyDescent="0.3">
      <c r="A35" s="4">
        <v>37258</v>
      </c>
      <c r="B35">
        <v>63.71</v>
      </c>
    </row>
    <row r="36" spans="1:2" x14ac:dyDescent="0.3">
      <c r="A36" s="4">
        <v>37291</v>
      </c>
      <c r="B36">
        <v>58.34</v>
      </c>
    </row>
    <row r="37" spans="1:2" x14ac:dyDescent="0.3">
      <c r="A37" s="4">
        <v>37316</v>
      </c>
      <c r="B37">
        <v>60.31</v>
      </c>
    </row>
    <row r="38" spans="1:2" x14ac:dyDescent="0.3">
      <c r="A38" s="4">
        <v>37347</v>
      </c>
      <c r="B38">
        <v>52.26</v>
      </c>
    </row>
    <row r="39" spans="1:2" x14ac:dyDescent="0.3">
      <c r="A39" s="4">
        <v>37377</v>
      </c>
      <c r="B39">
        <v>50.91</v>
      </c>
    </row>
    <row r="40" spans="1:2" x14ac:dyDescent="0.3">
      <c r="A40" s="4">
        <v>37410</v>
      </c>
      <c r="B40">
        <v>54.7</v>
      </c>
    </row>
    <row r="41" spans="1:2" x14ac:dyDescent="0.3">
      <c r="A41" s="4">
        <v>37438</v>
      </c>
      <c r="B41">
        <v>47.98</v>
      </c>
    </row>
    <row r="42" spans="1:2" x14ac:dyDescent="0.3">
      <c r="A42" s="4">
        <v>37469</v>
      </c>
      <c r="B42">
        <v>49.08</v>
      </c>
    </row>
    <row r="43" spans="1:2" x14ac:dyDescent="0.3">
      <c r="A43" s="4">
        <v>37502</v>
      </c>
      <c r="B43">
        <v>43.74</v>
      </c>
    </row>
    <row r="44" spans="1:2" x14ac:dyDescent="0.3">
      <c r="A44" s="4">
        <v>37530</v>
      </c>
      <c r="B44">
        <v>53.47</v>
      </c>
    </row>
    <row r="45" spans="1:2" x14ac:dyDescent="0.3">
      <c r="A45" s="4">
        <v>37561</v>
      </c>
      <c r="B45">
        <v>57.68</v>
      </c>
    </row>
    <row r="46" spans="1:2" x14ac:dyDescent="0.3">
      <c r="A46" s="4">
        <v>37592</v>
      </c>
      <c r="B46">
        <v>51.7</v>
      </c>
    </row>
    <row r="47" spans="1:2" x14ac:dyDescent="0.3">
      <c r="A47" s="4">
        <v>37623</v>
      </c>
      <c r="B47">
        <v>47.46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zoomScaleNormal="100" workbookViewId="0">
      <selection activeCell="J27" sqref="J27"/>
    </sheetView>
  </sheetViews>
  <sheetFormatPr defaultRowHeight="14.4" x14ac:dyDescent="0.3"/>
  <cols>
    <col min="1" max="1" width="4.33203125" customWidth="1"/>
    <col min="2" max="2" width="4.21875" customWidth="1"/>
    <col min="3" max="3" width="11.21875" customWidth="1"/>
    <col min="4" max="4" width="6.109375" customWidth="1"/>
    <col min="5" max="5" width="11.5546875" customWidth="1"/>
    <col min="6" max="6" width="1.5546875" customWidth="1"/>
    <col min="7" max="7" width="6.88671875" customWidth="1"/>
    <col min="8" max="8" width="11.44140625" customWidth="1"/>
  </cols>
  <sheetData>
    <row r="1" spans="1:8" x14ac:dyDescent="0.3">
      <c r="A1" s="92" t="s">
        <v>161</v>
      </c>
      <c r="B1" s="92"/>
      <c r="C1" s="92"/>
    </row>
    <row r="2" spans="1:8" x14ac:dyDescent="0.3">
      <c r="A2" s="92" t="s">
        <v>162</v>
      </c>
      <c r="B2" s="92"/>
      <c r="C2" s="92"/>
    </row>
    <row r="3" spans="1:8" x14ac:dyDescent="0.3">
      <c r="A3" s="92"/>
      <c r="B3" s="92"/>
      <c r="C3" s="92"/>
      <c r="D3" s="92" t="s">
        <v>110</v>
      </c>
      <c r="E3" s="92" t="s">
        <v>111</v>
      </c>
      <c r="G3" s="92" t="s">
        <v>110</v>
      </c>
      <c r="H3" s="92" t="s">
        <v>111</v>
      </c>
    </row>
    <row r="4" spans="1:8" x14ac:dyDescent="0.3">
      <c r="A4" s="92"/>
      <c r="B4" s="92"/>
      <c r="C4" s="92"/>
      <c r="D4" s="92">
        <f>1*10^7</f>
        <v>10000000</v>
      </c>
      <c r="E4" s="92">
        <v>5.0099999999999999E-2</v>
      </c>
      <c r="G4" s="92">
        <f>1.43*10^7</f>
        <v>14300000</v>
      </c>
      <c r="H4" s="92">
        <f>5.01*10^-2</f>
        <v>5.0099999999999999E-2</v>
      </c>
    </row>
    <row r="5" spans="1:8" x14ac:dyDescent="0.3">
      <c r="A5" s="92" t="s">
        <v>160</v>
      </c>
      <c r="B5" s="92" t="s">
        <v>0</v>
      </c>
      <c r="C5" s="92" t="s">
        <v>163</v>
      </c>
      <c r="E5" s="92" t="s">
        <v>210</v>
      </c>
      <c r="H5" t="s">
        <v>211</v>
      </c>
    </row>
    <row r="6" spans="1:8" x14ac:dyDescent="0.3">
      <c r="A6" s="92" t="s">
        <v>164</v>
      </c>
      <c r="B6" s="92">
        <v>1</v>
      </c>
      <c r="C6" s="93">
        <v>15568800</v>
      </c>
      <c r="E6" s="94">
        <f>$D$4*EXP($E$4*B6)</f>
        <v>10513762.287421923</v>
      </c>
      <c r="H6" s="94">
        <f>$G$4*EXP($H$4*B6)</f>
        <v>15034680.071013352</v>
      </c>
    </row>
    <row r="7" spans="1:8" x14ac:dyDescent="0.3">
      <c r="A7" s="92" t="s">
        <v>165</v>
      </c>
      <c r="B7" s="92">
        <v>2</v>
      </c>
      <c r="C7" s="93">
        <v>15796000</v>
      </c>
      <c r="E7" s="94">
        <f t="shared" ref="E7:E63" si="0">$D$4*EXP($E$4*B7)</f>
        <v>11053919.743641548</v>
      </c>
      <c r="H7" s="94">
        <f t="shared" ref="H7:H63" si="1">$G$4*EXP($H$4*B7)</f>
        <v>15807105.233407412</v>
      </c>
    </row>
    <row r="8" spans="1:8" x14ac:dyDescent="0.3">
      <c r="A8" s="92" t="s">
        <v>166</v>
      </c>
      <c r="B8" s="92">
        <v>3</v>
      </c>
      <c r="C8" s="93">
        <v>17308500</v>
      </c>
      <c r="E8" s="94">
        <f t="shared" si="0"/>
        <v>11621828.452888712</v>
      </c>
      <c r="H8" s="94">
        <f t="shared" si="1"/>
        <v>16619214.687630858</v>
      </c>
    </row>
    <row r="9" spans="1:8" x14ac:dyDescent="0.3">
      <c r="A9" s="92" t="s">
        <v>167</v>
      </c>
      <c r="B9" s="92">
        <v>4</v>
      </c>
      <c r="C9" s="93">
        <v>18959700</v>
      </c>
      <c r="E9" s="94">
        <f t="shared" si="0"/>
        <v>12218914.169886841</v>
      </c>
      <c r="H9" s="94">
        <f t="shared" si="1"/>
        <v>17473047.262938183</v>
      </c>
    </row>
    <row r="10" spans="1:8" x14ac:dyDescent="0.3">
      <c r="A10" s="92" t="s">
        <v>168</v>
      </c>
      <c r="B10" s="92">
        <v>5</v>
      </c>
      <c r="C10" s="93">
        <v>18062600</v>
      </c>
      <c r="E10" s="94">
        <f t="shared" si="0"/>
        <v>12846675.899260163</v>
      </c>
      <c r="H10" s="94">
        <f t="shared" si="1"/>
        <v>18370746.535942033</v>
      </c>
    </row>
    <row r="11" spans="1:8" x14ac:dyDescent="0.3">
      <c r="A11" s="92" t="s">
        <v>169</v>
      </c>
      <c r="B11" s="92">
        <v>6</v>
      </c>
      <c r="C11" s="93">
        <v>18074900</v>
      </c>
      <c r="E11" s="94">
        <f t="shared" si="0"/>
        <v>13506689.658837363</v>
      </c>
      <c r="H11" s="94">
        <f t="shared" si="1"/>
        <v>19314566.212137431</v>
      </c>
    </row>
    <row r="12" spans="1:8" x14ac:dyDescent="0.3">
      <c r="A12" s="92" t="s">
        <v>170</v>
      </c>
      <c r="B12" s="92">
        <v>7</v>
      </c>
      <c r="C12" s="93">
        <v>19472900</v>
      </c>
      <c r="E12" s="94">
        <f t="shared" si="0"/>
        <v>14200612.436299596</v>
      </c>
      <c r="H12" s="94">
        <f t="shared" si="1"/>
        <v>20306875.783908423</v>
      </c>
    </row>
    <row r="13" spans="1:8" x14ac:dyDescent="0.3">
      <c r="A13" s="92" t="s">
        <v>171</v>
      </c>
      <c r="B13" s="92">
        <v>8</v>
      </c>
      <c r="C13" s="93">
        <v>19484500</v>
      </c>
      <c r="E13" s="94">
        <f t="shared" si="0"/>
        <v>14930186.349106144</v>
      </c>
      <c r="H13" s="94">
        <f t="shared" si="1"/>
        <v>21350166.479221787</v>
      </c>
    </row>
    <row r="14" spans="1:8" x14ac:dyDescent="0.3">
      <c r="A14" s="92" t="s">
        <v>172</v>
      </c>
      <c r="B14" s="92">
        <v>9</v>
      </c>
      <c r="C14" s="93">
        <v>23186100</v>
      </c>
      <c r="E14" s="94">
        <f t="shared" si="0"/>
        <v>15697243.018141378</v>
      </c>
      <c r="H14" s="94">
        <f t="shared" si="1"/>
        <v>22447057.515942171</v>
      </c>
    </row>
    <row r="15" spans="1:8" x14ac:dyDescent="0.3">
      <c r="A15" s="92" t="s">
        <v>173</v>
      </c>
      <c r="B15" s="92">
        <v>10</v>
      </c>
      <c r="C15" s="93">
        <v>25312100</v>
      </c>
      <c r="E15" s="94">
        <f t="shared" si="0"/>
        <v>16503708.166063191</v>
      </c>
      <c r="H15" s="94">
        <f t="shared" si="1"/>
        <v>23600302.677470364</v>
      </c>
    </row>
    <row r="16" spans="1:8" x14ac:dyDescent="0.3">
      <c r="A16" s="92" t="s">
        <v>174</v>
      </c>
      <c r="B16" s="92">
        <v>11</v>
      </c>
      <c r="C16" s="93">
        <v>25551200</v>
      </c>
      <c r="E16" s="94">
        <f t="shared" si="0"/>
        <v>17351606.451897245</v>
      </c>
      <c r="H16" s="94">
        <f t="shared" si="1"/>
        <v>24812797.226213057</v>
      </c>
    </row>
    <row r="17" spans="1:8" x14ac:dyDescent="0.3">
      <c r="A17" s="92" t="s">
        <v>175</v>
      </c>
      <c r="B17" s="92">
        <v>12</v>
      </c>
      <c r="C17" s="93">
        <v>24578700</v>
      </c>
      <c r="E17" s="94">
        <f t="shared" si="0"/>
        <v>18243066.554014415</v>
      </c>
      <c r="H17" s="94">
        <f t="shared" si="1"/>
        <v>26087585.172240615</v>
      </c>
    </row>
    <row r="18" spans="1:8" x14ac:dyDescent="0.3">
      <c r="A18" s="92" t="s">
        <v>176</v>
      </c>
      <c r="B18" s="92">
        <v>13</v>
      </c>
      <c r="C18" s="93">
        <v>23872500</v>
      </c>
      <c r="E18" s="94">
        <f t="shared" si="0"/>
        <v>19180326.514252499</v>
      </c>
      <c r="H18" s="94">
        <f t="shared" si="1"/>
        <v>27427866.915381074</v>
      </c>
    </row>
    <row r="19" spans="1:8" x14ac:dyDescent="0.3">
      <c r="A19" s="92" t="s">
        <v>177</v>
      </c>
      <c r="B19" s="92">
        <v>14</v>
      </c>
      <c r="C19" s="93">
        <v>23376200</v>
      </c>
      <c r="E19" s="94">
        <f t="shared" si="0"/>
        <v>20165739.356598672</v>
      </c>
      <c r="H19" s="94">
        <f t="shared" si="1"/>
        <v>28837007.279936098</v>
      </c>
    </row>
    <row r="20" spans="1:8" x14ac:dyDescent="0.3">
      <c r="A20" s="92" t="s">
        <v>178</v>
      </c>
      <c r="B20" s="92">
        <v>15</v>
      </c>
      <c r="C20" s="93">
        <v>25825700</v>
      </c>
      <c r="E20" s="94">
        <f t="shared" si="0"/>
        <v>21201778.994538713</v>
      </c>
      <c r="H20" s="94">
        <f t="shared" si="1"/>
        <v>30318543.96219036</v>
      </c>
    </row>
    <row r="21" spans="1:8" x14ac:dyDescent="0.3">
      <c r="A21" s="92" t="s">
        <v>179</v>
      </c>
      <c r="B21" s="92">
        <v>16</v>
      </c>
      <c r="C21" s="93">
        <v>28229400</v>
      </c>
      <c r="E21" s="94">
        <f t="shared" si="0"/>
        <v>22291046.441903543</v>
      </c>
      <c r="H21" s="94">
        <f t="shared" si="1"/>
        <v>31876196.411922067</v>
      </c>
    </row>
    <row r="22" spans="1:8" x14ac:dyDescent="0.3">
      <c r="A22" s="92" t="s">
        <v>180</v>
      </c>
      <c r="B22" s="92">
        <v>17</v>
      </c>
      <c r="C22" s="93">
        <v>29373100</v>
      </c>
      <c r="E22" s="94">
        <f t="shared" si="0"/>
        <v>23436276.342805617</v>
      </c>
      <c r="H22" s="94">
        <f t="shared" si="1"/>
        <v>33513875.17021203</v>
      </c>
    </row>
    <row r="23" spans="1:8" x14ac:dyDescent="0.3">
      <c r="A23" s="92" t="s">
        <v>181</v>
      </c>
      <c r="B23" s="92">
        <v>18</v>
      </c>
      <c r="C23" s="93">
        <v>33705300</v>
      </c>
      <c r="E23" s="94">
        <f t="shared" si="0"/>
        <v>24640343.837058824</v>
      </c>
      <c r="H23" s="94">
        <f t="shared" si="1"/>
        <v>35235691.68699412</v>
      </c>
    </row>
    <row r="24" spans="1:8" x14ac:dyDescent="0.3">
      <c r="A24" s="92" t="s">
        <v>182</v>
      </c>
      <c r="B24" s="92">
        <v>19</v>
      </c>
      <c r="C24" s="93">
        <v>37573100</v>
      </c>
      <c r="E24" s="94">
        <f t="shared" si="0"/>
        <v>25906271.778317831</v>
      </c>
      <c r="H24" s="94">
        <f t="shared" si="1"/>
        <v>37045968.642994501</v>
      </c>
    </row>
    <row r="25" spans="1:8" x14ac:dyDescent="0.3">
      <c r="A25" s="92" t="s">
        <v>183</v>
      </c>
      <c r="B25" s="92">
        <v>20</v>
      </c>
      <c r="C25" s="93">
        <v>46354400</v>
      </c>
      <c r="E25" s="94">
        <f t="shared" si="0"/>
        <v>27237238.323058087</v>
      </c>
      <c r="H25" s="94">
        <f t="shared" si="1"/>
        <v>38949250.801973067</v>
      </c>
    </row>
    <row r="26" spans="1:8" x14ac:dyDescent="0.3">
      <c r="A26" s="92" t="s">
        <v>184</v>
      </c>
      <c r="B26" s="92">
        <v>21</v>
      </c>
      <c r="C26" s="93">
        <v>47113600</v>
      </c>
      <c r="E26" s="94">
        <f t="shared" si="0"/>
        <v>28636584.90944913</v>
      </c>
      <c r="H26" s="94">
        <f t="shared" si="1"/>
        <v>40950316.420512259</v>
      </c>
    </row>
    <row r="27" spans="1:8" x14ac:dyDescent="0.3">
      <c r="A27" s="92" t="s">
        <v>185</v>
      </c>
      <c r="B27" s="92">
        <v>22</v>
      </c>
      <c r="C27" s="93">
        <v>42861200</v>
      </c>
      <c r="E27" s="94">
        <f t="shared" si="0"/>
        <v>30107824.646152202</v>
      </c>
      <c r="H27" s="94">
        <f t="shared" si="1"/>
        <v>43054189.243997648</v>
      </c>
    </row>
    <row r="28" spans="1:8" x14ac:dyDescent="0.3">
      <c r="A28" s="92" t="s">
        <v>186</v>
      </c>
      <c r="B28" s="92">
        <v>23</v>
      </c>
      <c r="C28" s="93">
        <v>47819400</v>
      </c>
      <c r="E28" s="94">
        <f t="shared" si="0"/>
        <v>31654651.132102728</v>
      </c>
      <c r="H28" s="94">
        <f t="shared" si="1"/>
        <v>45266151.1189069</v>
      </c>
    </row>
    <row r="29" spans="1:8" x14ac:dyDescent="0.3">
      <c r="A29" s="92" t="s">
        <v>187</v>
      </c>
      <c r="B29" s="92">
        <v>24</v>
      </c>
      <c r="C29" s="93">
        <v>50187900</v>
      </c>
      <c r="E29" s="94">
        <f t="shared" si="0"/>
        <v>33280947.729419935</v>
      </c>
      <c r="H29" s="94">
        <f t="shared" si="1"/>
        <v>47591755.253070511</v>
      </c>
    </row>
    <row r="30" spans="1:8" x14ac:dyDescent="0.3">
      <c r="A30" s="92" t="s">
        <v>188</v>
      </c>
      <c r="B30" s="92">
        <v>25</v>
      </c>
      <c r="C30" s="93">
        <v>55475500</v>
      </c>
      <c r="E30" s="94">
        <f t="shared" si="0"/>
        <v>34990797.312723562</v>
      </c>
      <c r="H30" s="94">
        <f t="shared" si="1"/>
        <v>50036840.157194696</v>
      </c>
    </row>
    <row r="31" spans="1:8" x14ac:dyDescent="0.3">
      <c r="A31" s="92" t="s">
        <v>189</v>
      </c>
      <c r="B31" s="92">
        <v>26</v>
      </c>
      <c r="C31" s="93">
        <v>59688800</v>
      </c>
      <c r="E31" s="94">
        <f t="shared" si="0"/>
        <v>36788492.519333743</v>
      </c>
      <c r="H31" s="94">
        <f t="shared" si="1"/>
        <v>52607544.302647248</v>
      </c>
    </row>
    <row r="32" spans="1:8" x14ac:dyDescent="0.3">
      <c r="A32" s="92" t="s">
        <v>190</v>
      </c>
      <c r="B32" s="92">
        <v>27</v>
      </c>
      <c r="C32" s="93">
        <v>64208500</v>
      </c>
      <c r="E32" s="94">
        <f t="shared" si="0"/>
        <v>38678546.526087463</v>
      </c>
      <c r="H32" s="94">
        <f t="shared" si="1"/>
        <v>55310321.532305077</v>
      </c>
    </row>
    <row r="33" spans="1:8" x14ac:dyDescent="0.3">
      <c r="A33" s="92" t="s">
        <v>191</v>
      </c>
      <c r="B33" s="92">
        <v>28</v>
      </c>
      <c r="C33" s="93">
        <v>62763200</v>
      </c>
      <c r="E33" s="94">
        <f t="shared" si="0"/>
        <v>40665704.379827261</v>
      </c>
      <c r="H33" s="94">
        <f t="shared" si="1"/>
        <v>58151957.263152987</v>
      </c>
    </row>
    <row r="34" spans="1:8" x14ac:dyDescent="0.3">
      <c r="A34" s="92" t="s">
        <v>192</v>
      </c>
      <c r="B34" s="92">
        <v>29</v>
      </c>
      <c r="C34" s="93">
        <v>61940200</v>
      </c>
      <c r="E34" s="94">
        <f t="shared" si="0"/>
        <v>42754954.910007633</v>
      </c>
      <c r="H34" s="94">
        <f t="shared" si="1"/>
        <v>61139585.521310911</v>
      </c>
    </row>
    <row r="35" spans="1:8" x14ac:dyDescent="0.3">
      <c r="A35" s="92" t="s">
        <v>193</v>
      </c>
      <c r="B35" s="92">
        <v>30</v>
      </c>
      <c r="C35" s="93">
        <v>65738296</v>
      </c>
      <c r="E35" s="94">
        <f t="shared" si="0"/>
        <v>44951543.253326304</v>
      </c>
      <c r="H35" s="94">
        <f t="shared" si="1"/>
        <v>64280706.852256618</v>
      </c>
    </row>
    <row r="36" spans="1:8" x14ac:dyDescent="0.3">
      <c r="A36" s="92" t="s">
        <v>194</v>
      </c>
      <c r="B36" s="92">
        <v>31</v>
      </c>
      <c r="C36" s="93">
        <v>70436030</v>
      </c>
      <c r="E36" s="94">
        <f t="shared" si="0"/>
        <v>47260984.021823756</v>
      </c>
      <c r="H36" s="94">
        <f t="shared" si="1"/>
        <v>67583207.151207969</v>
      </c>
    </row>
    <row r="37" spans="1:8" x14ac:dyDescent="0.3">
      <c r="A37" s="92" t="s">
        <v>195</v>
      </c>
      <c r="B37" s="92">
        <v>32</v>
      </c>
      <c r="C37" s="93">
        <v>70331725</v>
      </c>
      <c r="E37" s="94">
        <f t="shared" si="0"/>
        <v>49689075.147510067</v>
      </c>
      <c r="H37" s="94">
        <f t="shared" si="1"/>
        <v>71055377.460939392</v>
      </c>
    </row>
    <row r="38" spans="1:8" x14ac:dyDescent="0.3">
      <c r="A38" s="92" t="s">
        <v>196</v>
      </c>
      <c r="B38" s="92">
        <v>33</v>
      </c>
      <c r="C38" s="93">
        <v>72381196</v>
      </c>
      <c r="E38" s="94">
        <f t="shared" si="0"/>
        <v>52241912.438276537</v>
      </c>
      <c r="H38" s="94">
        <f t="shared" si="1"/>
        <v>74705934.786735445</v>
      </c>
    </row>
    <row r="39" spans="1:8" x14ac:dyDescent="0.3">
      <c r="A39" s="92" t="s">
        <v>197</v>
      </c>
      <c r="B39" s="92">
        <v>34</v>
      </c>
      <c r="C39" s="93">
        <v>76388660</v>
      </c>
      <c r="E39" s="94">
        <f t="shared" si="0"/>
        <v>54925904.881635018</v>
      </c>
      <c r="H39" s="94">
        <f t="shared" si="1"/>
        <v>78544043.980738074</v>
      </c>
    </row>
    <row r="40" spans="1:8" x14ac:dyDescent="0.3">
      <c r="A40" s="92" t="s">
        <v>198</v>
      </c>
      <c r="B40" s="92">
        <v>35</v>
      </c>
      <c r="C40" s="93">
        <v>86054762</v>
      </c>
      <c r="E40" s="94">
        <f t="shared" si="0"/>
        <v>57747790.734705798</v>
      </c>
      <c r="H40" s="94">
        <f t="shared" si="1"/>
        <v>82579340.750629291</v>
      </c>
    </row>
    <row r="41" spans="1:8" x14ac:dyDescent="0.3">
      <c r="A41" s="92" t="s">
        <v>199</v>
      </c>
      <c r="B41" s="92">
        <v>36</v>
      </c>
      <c r="C41" s="93">
        <v>93602879</v>
      </c>
      <c r="E41" s="94">
        <f t="shared" si="0"/>
        <v>60714654.440848283</v>
      </c>
      <c r="H41" s="94">
        <f t="shared" si="1"/>
        <v>86821955.850413039</v>
      </c>
    </row>
    <row r="42" spans="1:8" x14ac:dyDescent="0.3">
      <c r="A42" s="92" t="s">
        <v>200</v>
      </c>
      <c r="B42" s="92">
        <v>37</v>
      </c>
      <c r="C42" s="93">
        <v>97544631</v>
      </c>
      <c r="E42" s="94">
        <f t="shared" si="0"/>
        <v>63833944.415404469</v>
      </c>
      <c r="H42" s="94">
        <f t="shared" si="1"/>
        <v>91282540.514028385</v>
      </c>
    </row>
    <row r="43" spans="1:8" x14ac:dyDescent="0.3">
      <c r="A43" s="92" t="s">
        <v>201</v>
      </c>
      <c r="B43" s="92">
        <v>38</v>
      </c>
      <c r="C43" s="93">
        <v>101622807</v>
      </c>
      <c r="E43" s="94">
        <f t="shared" si="0"/>
        <v>67113491.745206684</v>
      </c>
      <c r="H43" s="94">
        <f t="shared" si="1"/>
        <v>95972293.195645556</v>
      </c>
    </row>
    <row r="44" spans="1:8" x14ac:dyDescent="0.3">
      <c r="A44" s="92" t="s">
        <v>202</v>
      </c>
      <c r="B44" s="92">
        <v>39</v>
      </c>
      <c r="C44" s="93">
        <v>104713553</v>
      </c>
      <c r="E44" s="94">
        <f t="shared" si="0"/>
        <v>70561529.848795667</v>
      </c>
      <c r="H44" s="94">
        <f t="shared" si="1"/>
        <v>100902987.68377779</v>
      </c>
    </row>
    <row r="45" spans="1:8" x14ac:dyDescent="0.3">
      <c r="A45" s="92" t="s">
        <v>203</v>
      </c>
      <c r="B45" s="92">
        <v>40</v>
      </c>
      <c r="C45" s="93">
        <v>102464509</v>
      </c>
      <c r="E45" s="94">
        <f t="shared" si="0"/>
        <v>74186715.146706432</v>
      </c>
      <c r="H45" s="94">
        <f t="shared" si="1"/>
        <v>106087002.65979019</v>
      </c>
    </row>
    <row r="46" spans="1:8" x14ac:dyDescent="0.3">
      <c r="A46" s="92" t="s">
        <v>204</v>
      </c>
      <c r="B46" s="92">
        <v>41</v>
      </c>
      <c r="C46" s="95">
        <v>101515720.193399</v>
      </c>
      <c r="E46" s="94">
        <f t="shared" si="0"/>
        <v>77998148.793715492</v>
      </c>
      <c r="H46" s="94">
        <f t="shared" si="1"/>
        <v>111537352.77501315</v>
      </c>
    </row>
    <row r="47" spans="1:8" x14ac:dyDescent="0.3">
      <c r="A47" s="92" t="s">
        <v>205</v>
      </c>
      <c r="B47" s="92">
        <v>42</v>
      </c>
      <c r="C47" s="93">
        <v>111598546.141229</v>
      </c>
      <c r="E47" s="94">
        <f t="shared" si="0"/>
        <v>82005399.527608976</v>
      </c>
      <c r="H47" s="94">
        <f t="shared" si="1"/>
        <v>117267721.32448083</v>
      </c>
    </row>
    <row r="48" spans="1:8" x14ac:dyDescent="0.3">
      <c r="A48" s="92" t="s">
        <v>206</v>
      </c>
      <c r="B48" s="92">
        <v>43</v>
      </c>
      <c r="C48" s="93">
        <v>115419920.565667</v>
      </c>
      <c r="E48" s="94">
        <f t="shared" si="0"/>
        <v>86218527.691834271</v>
      </c>
      <c r="H48" s="94">
        <f t="shared" si="1"/>
        <v>123292494.599323</v>
      </c>
    </row>
    <row r="49" spans="1:8" x14ac:dyDescent="0.3">
      <c r="A49" s="92" t="s">
        <v>207</v>
      </c>
      <c r="B49" s="92">
        <v>44</v>
      </c>
      <c r="C49" s="93">
        <v>118605866</v>
      </c>
      <c r="E49" s="94">
        <f t="shared" si="0"/>
        <v>90648110.49234499</v>
      </c>
      <c r="H49" s="94">
        <f t="shared" si="1"/>
        <v>129626798.00405334</v>
      </c>
    </row>
    <row r="50" spans="1:8" x14ac:dyDescent="0.3">
      <c r="A50" s="92" t="s">
        <v>208</v>
      </c>
      <c r="B50" s="92">
        <v>45</v>
      </c>
      <c r="C50" s="93">
        <v>124873409</v>
      </c>
      <c r="E50" s="94">
        <f t="shared" si="0"/>
        <v>95305268.552047208</v>
      </c>
      <c r="H50" s="94">
        <f t="shared" si="1"/>
        <v>136286534.02942753</v>
      </c>
    </row>
    <row r="51" spans="1:8" x14ac:dyDescent="0.3">
      <c r="A51" s="92" t="s">
        <v>209</v>
      </c>
      <c r="B51" s="92">
        <v>46</v>
      </c>
      <c r="C51" s="93">
        <v>131449680.40099999</v>
      </c>
      <c r="E51" s="94">
        <f t="shared" si="0"/>
        <v>100201693.82951325</v>
      </c>
      <c r="H51" s="94">
        <f t="shared" si="1"/>
        <v>143288422.17620394</v>
      </c>
    </row>
    <row r="52" spans="1:8" x14ac:dyDescent="0.3">
      <c r="A52" s="92"/>
      <c r="B52" s="92">
        <v>47</v>
      </c>
      <c r="C52" s="92"/>
      <c r="E52" s="94">
        <f t="shared" si="0"/>
        <v>105349678.97205345</v>
      </c>
      <c r="H52" s="94">
        <f t="shared" si="1"/>
        <v>150650040.93003643</v>
      </c>
    </row>
    <row r="53" spans="1:8" x14ac:dyDescent="0.3">
      <c r="A53" s="92"/>
      <c r="B53" s="92">
        <v>48</v>
      </c>
      <c r="C53" s="92"/>
      <c r="E53" s="94">
        <f t="shared" si="0"/>
        <v>110762148.17683822</v>
      </c>
      <c r="H53" s="94">
        <f t="shared" si="1"/>
        <v>158389871.89287865</v>
      </c>
    </row>
    <row r="54" spans="1:8" x14ac:dyDescent="0.3">
      <c r="A54" s="92"/>
      <c r="B54" s="92">
        <v>49</v>
      </c>
      <c r="C54" s="92"/>
      <c r="E54" s="94">
        <f t="shared" si="0"/>
        <v>116452689.63754806</v>
      </c>
      <c r="H54" s="94">
        <f t="shared" si="1"/>
        <v>166527346.18169373</v>
      </c>
    </row>
    <row r="55" spans="1:8" x14ac:dyDescent="0.3">
      <c r="A55" s="92"/>
      <c r="B55" s="92">
        <v>50</v>
      </c>
      <c r="C55" s="92"/>
      <c r="E55" s="94">
        <f t="shared" si="0"/>
        <v>122435589.65801024</v>
      </c>
      <c r="H55" s="94">
        <f t="shared" si="1"/>
        <v>175082893.21095467</v>
      </c>
    </row>
    <row r="56" spans="1:8" x14ac:dyDescent="0.3">
      <c r="A56" s="92"/>
      <c r="B56" s="92">
        <v>51</v>
      </c>
      <c r="C56" s="92"/>
      <c r="E56" s="94">
        <f t="shared" si="0"/>
        <v>128725868.5184654</v>
      </c>
      <c r="H56" s="94">
        <f t="shared" si="1"/>
        <v>184077991.98140553</v>
      </c>
    </row>
    <row r="57" spans="1:8" x14ac:dyDescent="0.3">
      <c r="A57" s="92"/>
      <c r="B57" s="92">
        <v>52</v>
      </c>
      <c r="C57" s="92"/>
      <c r="E57" s="94">
        <f t="shared" si="0"/>
        <v>135339318.18450746</v>
      </c>
      <c r="H57" s="94">
        <f t="shared" si="1"/>
        <v>193535225.00384566</v>
      </c>
    </row>
    <row r="58" spans="1:8" x14ac:dyDescent="0.3">
      <c r="A58" s="92"/>
      <c r="B58" s="92">
        <v>53</v>
      </c>
      <c r="C58" s="92"/>
      <c r="E58" s="94">
        <f t="shared" si="0"/>
        <v>142292541.95336705</v>
      </c>
      <c r="H58" s="94">
        <f t="shared" si="1"/>
        <v>203478334.99331489</v>
      </c>
    </row>
    <row r="59" spans="1:8" x14ac:dyDescent="0.3">
      <c r="A59" s="92"/>
      <c r="B59" s="92">
        <v>54</v>
      </c>
      <c r="C59" s="92"/>
      <c r="E59" s="94">
        <f t="shared" si="0"/>
        <v>149602996.13707125</v>
      </c>
      <c r="H59" s="94">
        <f t="shared" si="1"/>
        <v>213932284.4760119</v>
      </c>
    </row>
    <row r="60" spans="1:8" x14ac:dyDescent="0.3">
      <c r="A60" s="92"/>
      <c r="B60" s="92">
        <v>55</v>
      </c>
      <c r="C60" s="92"/>
      <c r="E60" s="94">
        <f t="shared" si="0"/>
        <v>157289033.88712674</v>
      </c>
      <c r="H60" s="94">
        <f t="shared" si="1"/>
        <v>224923318.45859125</v>
      </c>
    </row>
    <row r="61" spans="1:8" x14ac:dyDescent="0.3">
      <c r="A61" s="92"/>
      <c r="B61" s="92">
        <v>56</v>
      </c>
      <c r="C61" s="92"/>
      <c r="E61" s="94">
        <f t="shared" si="0"/>
        <v>165369951.27075022</v>
      </c>
      <c r="H61" s="94">
        <f t="shared" si="1"/>
        <v>236479030.31717283</v>
      </c>
    </row>
    <row r="62" spans="1:8" x14ac:dyDescent="0.3">
      <c r="A62" s="92"/>
      <c r="B62" s="92">
        <v>57</v>
      </c>
      <c r="C62" s="92"/>
      <c r="E62" s="94">
        <f t="shared" si="0"/>
        <v>173866035.71432149</v>
      </c>
      <c r="H62" s="94">
        <f t="shared" si="1"/>
        <v>248628431.07147974</v>
      </c>
    </row>
    <row r="63" spans="1:8" x14ac:dyDescent="0.3">
      <c r="A63" s="92"/>
      <c r="B63" s="92">
        <v>58</v>
      </c>
      <c r="C63" s="92"/>
      <c r="E63" s="94">
        <f t="shared" si="0"/>
        <v>182798616.9356786</v>
      </c>
      <c r="H63" s="94">
        <f t="shared" si="1"/>
        <v>261402022.21802038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Views>
    <sheetView workbookViewId="0">
      <selection activeCell="F25" sqref="F25"/>
    </sheetView>
  </sheetViews>
  <sheetFormatPr defaultRowHeight="14.4" x14ac:dyDescent="0.3"/>
  <sheetData>
    <row r="1" spans="1:3" x14ac:dyDescent="0.3">
      <c r="A1" t="s">
        <v>114</v>
      </c>
    </row>
    <row r="3" spans="1:3" x14ac:dyDescent="0.3">
      <c r="A3" t="s">
        <v>25</v>
      </c>
      <c r="C3">
        <v>9.7665799999999994</v>
      </c>
    </row>
    <row r="4" spans="1:3" x14ac:dyDescent="0.3">
      <c r="A4" t="s">
        <v>26</v>
      </c>
      <c r="C4">
        <v>0.99981399999999998</v>
      </c>
    </row>
    <row r="5" spans="1:3" x14ac:dyDescent="0.3">
      <c r="A5" t="s">
        <v>27</v>
      </c>
    </row>
    <row r="7" spans="1:3" x14ac:dyDescent="0.3">
      <c r="A7" t="s">
        <v>28</v>
      </c>
      <c r="C7">
        <v>1</v>
      </c>
    </row>
    <row r="8" spans="1:3" x14ac:dyDescent="0.3">
      <c r="A8" t="s">
        <v>29</v>
      </c>
      <c r="C8">
        <v>20</v>
      </c>
    </row>
    <row r="9" spans="1:3" x14ac:dyDescent="0.3">
      <c r="A9" t="s">
        <v>30</v>
      </c>
      <c r="C9">
        <v>10.5</v>
      </c>
    </row>
    <row r="10" spans="1:3" x14ac:dyDescent="0.3">
      <c r="A10" t="s">
        <v>31</v>
      </c>
      <c r="C10">
        <v>5.91608</v>
      </c>
    </row>
    <row r="11" spans="1:3" x14ac:dyDescent="0.3">
      <c r="A11" t="s">
        <v>32</v>
      </c>
      <c r="C11">
        <v>1</v>
      </c>
    </row>
    <row r="12" spans="1:3" x14ac:dyDescent="0.3">
      <c r="A12" t="s">
        <v>33</v>
      </c>
      <c r="C12">
        <v>1023.5</v>
      </c>
    </row>
    <row r="13" spans="1:3" x14ac:dyDescent="0.3">
      <c r="A13" t="s">
        <v>34</v>
      </c>
      <c r="C13">
        <v>537.57500000000005</v>
      </c>
    </row>
    <row r="14" spans="1:3" x14ac:dyDescent="0.3">
      <c r="A14" t="s">
        <v>35</v>
      </c>
      <c r="C14">
        <v>464.26900000000001</v>
      </c>
    </row>
    <row r="16" spans="1:3" x14ac:dyDescent="0.3">
      <c r="A16" t="s">
        <v>115</v>
      </c>
    </row>
    <row r="17" spans="1:3" x14ac:dyDescent="0.3">
      <c r="A17" t="s">
        <v>37</v>
      </c>
      <c r="B17" s="11">
        <v>1016.41020076</v>
      </c>
    </row>
    <row r="18" spans="1:3" x14ac:dyDescent="0.3">
      <c r="A18" t="s">
        <v>38</v>
      </c>
      <c r="B18" s="11">
        <v>11.045118439199999</v>
      </c>
    </row>
    <row r="19" spans="1:3" x14ac:dyDescent="0.3">
      <c r="A19" t="s">
        <v>39</v>
      </c>
      <c r="B19" s="11">
        <v>1.0786860037799999</v>
      </c>
    </row>
    <row r="20" spans="1:3" x14ac:dyDescent="0.3">
      <c r="A20" t="s">
        <v>40</v>
      </c>
      <c r="B20" s="11">
        <v>1.2003358401999999</v>
      </c>
    </row>
    <row r="22" spans="1:3" x14ac:dyDescent="0.3">
      <c r="A22" t="s">
        <v>19</v>
      </c>
      <c r="B22" t="s">
        <v>20</v>
      </c>
      <c r="C22" t="s">
        <v>21</v>
      </c>
    </row>
    <row r="23" spans="1:3" x14ac:dyDescent="0.3">
      <c r="A23">
        <v>1</v>
      </c>
      <c r="B23">
        <v>1</v>
      </c>
      <c r="C23">
        <v>0.25181900000000002</v>
      </c>
    </row>
    <row r="24" spans="1:3" x14ac:dyDescent="0.3">
      <c r="A24">
        <v>2</v>
      </c>
      <c r="B24">
        <v>2</v>
      </c>
      <c r="C24">
        <v>0.61849500000000002</v>
      </c>
    </row>
    <row r="25" spans="1:3" x14ac:dyDescent="0.3">
      <c r="A25">
        <v>3</v>
      </c>
      <c r="B25">
        <v>4</v>
      </c>
      <c r="C25">
        <v>1.5188699999999999</v>
      </c>
    </row>
    <row r="26" spans="1:3" x14ac:dyDescent="0.3">
      <c r="A26">
        <v>4</v>
      </c>
      <c r="B26">
        <v>8</v>
      </c>
      <c r="C26">
        <v>3.7283400000000002</v>
      </c>
    </row>
    <row r="27" spans="1:3" x14ac:dyDescent="0.3">
      <c r="A27">
        <v>5</v>
      </c>
      <c r="B27">
        <v>16</v>
      </c>
      <c r="C27">
        <v>9.1402599999999996</v>
      </c>
    </row>
    <row r="28" spans="1:3" x14ac:dyDescent="0.3">
      <c r="A28">
        <v>6</v>
      </c>
      <c r="B28">
        <v>32</v>
      </c>
      <c r="C28">
        <v>22.3249</v>
      </c>
    </row>
    <row r="29" spans="1:3" x14ac:dyDescent="0.3">
      <c r="A29">
        <v>7</v>
      </c>
      <c r="B29">
        <v>64</v>
      </c>
      <c r="C29">
        <v>53.9465</v>
      </c>
    </row>
    <row r="30" spans="1:3" x14ac:dyDescent="0.3">
      <c r="A30">
        <v>8</v>
      </c>
      <c r="B30">
        <v>128</v>
      </c>
      <c r="C30">
        <v>126.508</v>
      </c>
    </row>
    <row r="31" spans="1:3" x14ac:dyDescent="0.3">
      <c r="A31">
        <v>9</v>
      </c>
      <c r="B31">
        <v>256</v>
      </c>
      <c r="C31">
        <v>274.77</v>
      </c>
    </row>
    <row r="32" spans="1:3" x14ac:dyDescent="0.3">
      <c r="A32">
        <v>10</v>
      </c>
      <c r="B32">
        <v>512</v>
      </c>
      <c r="C32">
        <v>508.80599999999998</v>
      </c>
    </row>
    <row r="33" spans="1:3" x14ac:dyDescent="0.3">
      <c r="A33">
        <v>11</v>
      </c>
      <c r="B33">
        <v>768</v>
      </c>
      <c r="C33">
        <v>750.02599999999995</v>
      </c>
    </row>
    <row r="34" spans="1:3" x14ac:dyDescent="0.3">
      <c r="A34">
        <v>12</v>
      </c>
      <c r="B34">
        <v>896</v>
      </c>
      <c r="C34">
        <v>904.89</v>
      </c>
    </row>
    <row r="35" spans="1:3" x14ac:dyDescent="0.3">
      <c r="A35">
        <v>13</v>
      </c>
      <c r="B35">
        <v>960</v>
      </c>
      <c r="C35">
        <v>975.22400000000005</v>
      </c>
    </row>
    <row r="36" spans="1:3" x14ac:dyDescent="0.3">
      <c r="A36">
        <v>14</v>
      </c>
      <c r="B36">
        <v>992</v>
      </c>
      <c r="C36">
        <v>1001.98</v>
      </c>
    </row>
    <row r="37" spans="1:3" x14ac:dyDescent="0.3">
      <c r="A37">
        <v>15</v>
      </c>
      <c r="B37">
        <v>1008</v>
      </c>
      <c r="C37">
        <v>1011.45</v>
      </c>
    </row>
    <row r="38" spans="1:3" x14ac:dyDescent="0.3">
      <c r="A38">
        <v>16</v>
      </c>
      <c r="B38">
        <v>1016</v>
      </c>
      <c r="C38">
        <v>1014.72</v>
      </c>
    </row>
    <row r="39" spans="1:3" x14ac:dyDescent="0.3">
      <c r="A39">
        <v>17</v>
      </c>
      <c r="B39">
        <v>1020</v>
      </c>
      <c r="C39">
        <v>1015.83</v>
      </c>
    </row>
    <row r="40" spans="1:3" x14ac:dyDescent="0.3">
      <c r="A40">
        <v>18</v>
      </c>
      <c r="B40">
        <v>1022</v>
      </c>
      <c r="C40">
        <v>1016.21</v>
      </c>
    </row>
    <row r="41" spans="1:3" x14ac:dyDescent="0.3">
      <c r="A41">
        <v>19</v>
      </c>
      <c r="B41">
        <v>1023</v>
      </c>
      <c r="C41">
        <v>1016.34</v>
      </c>
    </row>
    <row r="42" spans="1:3" x14ac:dyDescent="0.3">
      <c r="A42">
        <v>20</v>
      </c>
      <c r="B42">
        <v>1023.5</v>
      </c>
      <c r="C42">
        <v>1016.39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zoomScale="80" zoomScaleNormal="80" workbookViewId="0">
      <selection activeCell="R29" sqref="R29"/>
    </sheetView>
  </sheetViews>
  <sheetFormatPr defaultRowHeight="14.4" x14ac:dyDescent="0.3"/>
  <cols>
    <col min="3" max="3" width="14" customWidth="1"/>
    <col min="4" max="4" width="2.44140625" customWidth="1"/>
    <col min="6" max="6" width="2.88671875" customWidth="1"/>
    <col min="11" max="11" width="2.6640625" customWidth="1"/>
  </cols>
  <sheetData>
    <row r="1" spans="1:14" x14ac:dyDescent="0.3">
      <c r="A1" t="s">
        <v>19</v>
      </c>
      <c r="B1" t="s">
        <v>20</v>
      </c>
      <c r="C1" t="s">
        <v>21</v>
      </c>
      <c r="E1" t="s">
        <v>23</v>
      </c>
      <c r="G1" t="s">
        <v>24</v>
      </c>
      <c r="L1" t="s">
        <v>22</v>
      </c>
      <c r="N1" t="s">
        <v>116</v>
      </c>
    </row>
    <row r="2" spans="1:14" x14ac:dyDescent="0.3">
      <c r="A2">
        <v>1</v>
      </c>
      <c r="B2">
        <v>1</v>
      </c>
      <c r="C2">
        <v>0.25181900000000002</v>
      </c>
      <c r="E2" s="5">
        <f>$H$17/(1+EXP($H$18-$H$19*A2)^(1/$H$20))</f>
        <v>0.2517668093886738</v>
      </c>
      <c r="L2">
        <v>1</v>
      </c>
      <c r="M2">
        <v>0.74818068270000004</v>
      </c>
    </row>
    <row r="3" spans="1:14" x14ac:dyDescent="0.3">
      <c r="A3">
        <v>2</v>
      </c>
      <c r="B3">
        <v>2</v>
      </c>
      <c r="C3">
        <v>0.61849500000000002</v>
      </c>
      <c r="E3" s="5">
        <f t="shared" ref="E3:E31" si="0">$H$17/(1+EXP($H$18-$H$19*A3)^(1/$H$20))</f>
        <v>0.6181901922652725</v>
      </c>
      <c r="G3" t="s">
        <v>25</v>
      </c>
      <c r="I3">
        <v>9.7665799999999994</v>
      </c>
      <c r="L3">
        <v>2</v>
      </c>
      <c r="M3">
        <v>1.3815048009999999</v>
      </c>
    </row>
    <row r="4" spans="1:14" x14ac:dyDescent="0.3">
      <c r="A4">
        <v>3</v>
      </c>
      <c r="B4">
        <v>4</v>
      </c>
      <c r="C4">
        <v>1.5188699999999999</v>
      </c>
      <c r="E4" s="5">
        <f t="shared" si="0"/>
        <v>1.517112827570446</v>
      </c>
      <c r="G4" t="s">
        <v>26</v>
      </c>
      <c r="I4">
        <v>0.99981399999999998</v>
      </c>
      <c r="L4">
        <v>3</v>
      </c>
      <c r="M4">
        <v>2.481133298</v>
      </c>
    </row>
    <row r="5" spans="1:14" x14ac:dyDescent="0.3">
      <c r="A5">
        <v>4</v>
      </c>
      <c r="B5">
        <v>8</v>
      </c>
      <c r="C5">
        <v>3.7283400000000002</v>
      </c>
      <c r="E5" s="5">
        <f t="shared" si="0"/>
        <v>3.7183918185519063</v>
      </c>
      <c r="G5" t="s">
        <v>27</v>
      </c>
      <c r="L5">
        <v>4</v>
      </c>
      <c r="M5">
        <v>4.2716641949999996</v>
      </c>
    </row>
    <row r="6" spans="1:14" x14ac:dyDescent="0.3">
      <c r="A6">
        <v>5</v>
      </c>
      <c r="B6">
        <v>16</v>
      </c>
      <c r="C6">
        <v>9.1402599999999996</v>
      </c>
      <c r="E6" s="5">
        <f t="shared" si="0"/>
        <v>9.0850598907689939</v>
      </c>
      <c r="L6">
        <v>5</v>
      </c>
      <c r="M6">
        <v>6.8597357810000004</v>
      </c>
    </row>
    <row r="7" spans="1:14" x14ac:dyDescent="0.3">
      <c r="A7">
        <v>6</v>
      </c>
      <c r="B7">
        <v>32</v>
      </c>
      <c r="C7">
        <v>22.3249</v>
      </c>
      <c r="E7" s="5">
        <f t="shared" si="0"/>
        <v>22.028826884277855</v>
      </c>
      <c r="G7" t="s">
        <v>28</v>
      </c>
      <c r="I7">
        <v>1</v>
      </c>
      <c r="L7">
        <v>6</v>
      </c>
      <c r="M7">
        <v>9.6750711539999994</v>
      </c>
    </row>
    <row r="8" spans="1:14" x14ac:dyDescent="0.3">
      <c r="A8">
        <v>7</v>
      </c>
      <c r="B8">
        <v>64</v>
      </c>
      <c r="C8">
        <v>53.9465</v>
      </c>
      <c r="E8" s="5">
        <f t="shared" si="0"/>
        <v>52.453696045170176</v>
      </c>
      <c r="G8" t="s">
        <v>29</v>
      </c>
      <c r="I8">
        <v>20</v>
      </c>
      <c r="L8">
        <v>7</v>
      </c>
      <c r="M8">
        <v>10.05352169</v>
      </c>
    </row>
    <row r="9" spans="1:14" x14ac:dyDescent="0.3">
      <c r="A9">
        <v>8</v>
      </c>
      <c r="B9">
        <v>128</v>
      </c>
      <c r="C9">
        <v>126.508</v>
      </c>
      <c r="E9" s="5">
        <f t="shared" si="0"/>
        <v>119.83547870233403</v>
      </c>
      <c r="G9" t="s">
        <v>30</v>
      </c>
      <c r="I9">
        <v>10.5</v>
      </c>
      <c r="L9">
        <v>8</v>
      </c>
      <c r="M9">
        <v>1.4924136569999999</v>
      </c>
    </row>
    <row r="10" spans="1:14" x14ac:dyDescent="0.3">
      <c r="A10">
        <v>9</v>
      </c>
      <c r="B10">
        <v>256</v>
      </c>
      <c r="C10">
        <v>274.77</v>
      </c>
      <c r="E10" s="5">
        <f t="shared" si="0"/>
        <v>251.21755304103769</v>
      </c>
      <c r="G10" t="s">
        <v>31</v>
      </c>
      <c r="I10">
        <v>5.91608</v>
      </c>
      <c r="L10">
        <v>9</v>
      </c>
      <c r="M10">
        <v>-18.770478539999999</v>
      </c>
    </row>
    <row r="11" spans="1:14" x14ac:dyDescent="0.3">
      <c r="A11">
        <v>10</v>
      </c>
      <c r="B11">
        <v>512</v>
      </c>
      <c r="C11">
        <v>508.80599999999998</v>
      </c>
      <c r="E11" s="5">
        <f t="shared" si="0"/>
        <v>453.74364890327729</v>
      </c>
      <c r="G11" t="s">
        <v>32</v>
      </c>
      <c r="I11">
        <v>1</v>
      </c>
      <c r="L11">
        <v>10</v>
      </c>
      <c r="M11">
        <v>3.1937964939999999</v>
      </c>
    </row>
    <row r="12" spans="1:14" x14ac:dyDescent="0.3">
      <c r="A12">
        <v>11</v>
      </c>
      <c r="B12">
        <v>768</v>
      </c>
      <c r="C12">
        <v>750.02599999999995</v>
      </c>
      <c r="E12" s="5">
        <f t="shared" si="0"/>
        <v>675.424022593259</v>
      </c>
      <c r="G12" t="s">
        <v>33</v>
      </c>
      <c r="I12">
        <v>1023.5</v>
      </c>
      <c r="L12">
        <v>11</v>
      </c>
      <c r="M12">
        <v>17.974459190000001</v>
      </c>
    </row>
    <row r="13" spans="1:14" x14ac:dyDescent="0.3">
      <c r="A13">
        <v>12</v>
      </c>
      <c r="B13">
        <v>896</v>
      </c>
      <c r="C13">
        <v>904.89</v>
      </c>
      <c r="E13" s="5">
        <f t="shared" si="0"/>
        <v>843.12152516639458</v>
      </c>
      <c r="G13" t="s">
        <v>34</v>
      </c>
      <c r="I13">
        <v>537.57500000000005</v>
      </c>
      <c r="L13">
        <v>12</v>
      </c>
      <c r="M13">
        <v>-8.8896824169999995</v>
      </c>
    </row>
    <row r="14" spans="1:14" x14ac:dyDescent="0.3">
      <c r="A14">
        <v>13</v>
      </c>
      <c r="B14">
        <v>960</v>
      </c>
      <c r="C14">
        <v>975.22400000000005</v>
      </c>
      <c r="E14" s="5">
        <f t="shared" si="0"/>
        <v>937.92832215739486</v>
      </c>
      <c r="G14" t="s">
        <v>35</v>
      </c>
      <c r="I14">
        <v>464.26900000000001</v>
      </c>
      <c r="L14">
        <v>13</v>
      </c>
      <c r="M14">
        <v>-15.22447051</v>
      </c>
    </row>
    <row r="15" spans="1:14" x14ac:dyDescent="0.3">
      <c r="A15">
        <v>14</v>
      </c>
      <c r="B15">
        <v>992</v>
      </c>
      <c r="C15">
        <v>1001.98</v>
      </c>
      <c r="E15" s="5">
        <f t="shared" si="0"/>
        <v>982.92597289244952</v>
      </c>
      <c r="L15">
        <v>14</v>
      </c>
      <c r="M15">
        <v>-9.9816052989999999</v>
      </c>
    </row>
    <row r="16" spans="1:14" x14ac:dyDescent="0.3">
      <c r="A16">
        <v>15</v>
      </c>
      <c r="B16">
        <v>1008</v>
      </c>
      <c r="C16">
        <v>1011.45</v>
      </c>
      <c r="E16" s="5">
        <f t="shared" si="0"/>
        <v>1002.5066260298479</v>
      </c>
      <c r="G16" t="s">
        <v>36</v>
      </c>
      <c r="L16">
        <v>15</v>
      </c>
      <c r="M16">
        <v>-3.4528086939999998</v>
      </c>
    </row>
    <row r="17" spans="1:13" x14ac:dyDescent="0.3">
      <c r="A17">
        <v>16</v>
      </c>
      <c r="B17">
        <v>1016</v>
      </c>
      <c r="C17">
        <v>1014.72</v>
      </c>
      <c r="E17" s="5">
        <f t="shared" si="0"/>
        <v>1010.703530582588</v>
      </c>
      <c r="G17" t="s">
        <v>37</v>
      </c>
      <c r="H17">
        <v>1016.4102</v>
      </c>
      <c r="L17">
        <v>16</v>
      </c>
      <c r="M17">
        <v>1.2815104820000001</v>
      </c>
    </row>
    <row r="18" spans="1:13" x14ac:dyDescent="0.3">
      <c r="A18">
        <v>17</v>
      </c>
      <c r="B18">
        <v>1020</v>
      </c>
      <c r="C18">
        <v>1015.83</v>
      </c>
      <c r="E18" s="5">
        <f t="shared" si="0"/>
        <v>1014.0791557364356</v>
      </c>
      <c r="G18" t="s">
        <v>38</v>
      </c>
      <c r="H18">
        <v>11.045118</v>
      </c>
      <c r="L18">
        <v>17</v>
      </c>
      <c r="M18">
        <v>4.1657481499999998</v>
      </c>
    </row>
    <row r="19" spans="1:13" x14ac:dyDescent="0.3">
      <c r="A19">
        <v>18</v>
      </c>
      <c r="B19">
        <v>1022</v>
      </c>
      <c r="C19">
        <v>1016.21</v>
      </c>
      <c r="E19" s="5">
        <f t="shared" si="0"/>
        <v>1015.4598990265857</v>
      </c>
      <c r="G19" t="s">
        <v>39</v>
      </c>
      <c r="H19">
        <v>1.078686</v>
      </c>
      <c r="L19">
        <v>18</v>
      </c>
      <c r="M19">
        <v>5.7857266909999998</v>
      </c>
    </row>
    <row r="20" spans="1:13" x14ac:dyDescent="0.3">
      <c r="A20">
        <v>19</v>
      </c>
      <c r="B20">
        <v>1023</v>
      </c>
      <c r="C20">
        <v>1016.34</v>
      </c>
      <c r="E20" s="5">
        <f t="shared" si="0"/>
        <v>1016.0231013013489</v>
      </c>
      <c r="G20" t="s">
        <v>40</v>
      </c>
      <c r="H20">
        <v>1.2003358</v>
      </c>
      <c r="L20">
        <v>19</v>
      </c>
      <c r="M20">
        <v>6.6564321350000002</v>
      </c>
    </row>
    <row r="21" spans="1:13" x14ac:dyDescent="0.3">
      <c r="A21">
        <v>20</v>
      </c>
      <c r="B21">
        <v>1023.5</v>
      </c>
      <c r="C21">
        <v>1016.39</v>
      </c>
      <c r="E21" s="5">
        <f t="shared" si="0"/>
        <v>1016.2525697669416</v>
      </c>
      <c r="L21">
        <v>20</v>
      </c>
      <c r="M21">
        <v>7.1124583020000003</v>
      </c>
    </row>
    <row r="22" spans="1:13" x14ac:dyDescent="0.3">
      <c r="A22">
        <v>21</v>
      </c>
      <c r="E22" s="5">
        <f t="shared" si="0"/>
        <v>1016.3460200781552</v>
      </c>
    </row>
    <row r="23" spans="1:13" x14ac:dyDescent="0.3">
      <c r="A23">
        <v>22</v>
      </c>
      <c r="E23" s="5">
        <f t="shared" si="0"/>
        <v>1016.3840702547892</v>
      </c>
    </row>
    <row r="24" spans="1:13" x14ac:dyDescent="0.3">
      <c r="A24">
        <v>23</v>
      </c>
      <c r="E24" s="5">
        <f t="shared" si="0"/>
        <v>1016.3995619622626</v>
      </c>
    </row>
    <row r="25" spans="1:13" x14ac:dyDescent="0.3">
      <c r="A25">
        <v>24</v>
      </c>
      <c r="E25" s="5">
        <f t="shared" si="0"/>
        <v>1016.4058690421837</v>
      </c>
    </row>
    <row r="26" spans="1:13" x14ac:dyDescent="0.3">
      <c r="A26">
        <v>25</v>
      </c>
      <c r="E26" s="5">
        <f t="shared" si="0"/>
        <v>1016.4084367869845</v>
      </c>
    </row>
    <row r="27" spans="1:13" x14ac:dyDescent="0.3">
      <c r="A27">
        <v>26</v>
      </c>
      <c r="E27" s="5">
        <f t="shared" si="0"/>
        <v>1016.409482164451</v>
      </c>
    </row>
    <row r="28" spans="1:13" x14ac:dyDescent="0.3">
      <c r="A28">
        <v>27</v>
      </c>
      <c r="E28" s="5">
        <f t="shared" si="0"/>
        <v>1016.4099077564896</v>
      </c>
    </row>
    <row r="29" spans="1:13" x14ac:dyDescent="0.3">
      <c r="A29">
        <v>28</v>
      </c>
      <c r="E29" s="5">
        <f t="shared" si="0"/>
        <v>1016.410081022543</v>
      </c>
    </row>
    <row r="30" spans="1:13" x14ac:dyDescent="0.3">
      <c r="A30">
        <v>29</v>
      </c>
      <c r="E30" s="5">
        <f t="shared" si="0"/>
        <v>1016.4101515621961</v>
      </c>
    </row>
    <row r="31" spans="1:13" x14ac:dyDescent="0.3">
      <c r="A31">
        <v>30</v>
      </c>
      <c r="E31" s="5">
        <f t="shared" si="0"/>
        <v>1016.4101802801237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workbookViewId="0">
      <selection activeCell="F21" sqref="F21"/>
    </sheetView>
  </sheetViews>
  <sheetFormatPr defaultRowHeight="14.4" x14ac:dyDescent="0.3"/>
  <cols>
    <col min="1" max="1" width="17.88671875" customWidth="1"/>
    <col min="6" max="6" width="12.33203125" customWidth="1"/>
  </cols>
  <sheetData>
    <row r="1" spans="1:8" x14ac:dyDescent="0.3">
      <c r="A1" s="25" t="s">
        <v>41</v>
      </c>
      <c r="B1" s="25" t="s">
        <v>42</v>
      </c>
      <c r="E1" t="s">
        <v>43</v>
      </c>
      <c r="H1" t="s">
        <v>126</v>
      </c>
    </row>
    <row r="2" spans="1:8" x14ac:dyDescent="0.3">
      <c r="A2" s="27">
        <v>25</v>
      </c>
      <c r="B2" s="27">
        <v>2</v>
      </c>
      <c r="C2" s="6" t="s">
        <v>44</v>
      </c>
      <c r="D2">
        <f>INTERCEPT(B2:B11,A2:A11)</f>
        <v>-0.13807971541086239</v>
      </c>
      <c r="E2">
        <f>A2^2</f>
        <v>625</v>
      </c>
      <c r="F2">
        <f>$D$2+$D$3*A2</f>
        <v>2.4179972177812838</v>
      </c>
      <c r="H2">
        <f>AVERAGE($A$2:$A$11)</f>
        <v>57.1</v>
      </c>
    </row>
    <row r="3" spans="1:8" x14ac:dyDescent="0.3">
      <c r="A3" s="27">
        <v>10</v>
      </c>
      <c r="B3" s="27">
        <v>1</v>
      </c>
      <c r="C3" s="6" t="s">
        <v>45</v>
      </c>
      <c r="D3">
        <f>SLOPE(B2:B11,A2:A11)</f>
        <v>0.10224307732768585</v>
      </c>
      <c r="E3">
        <f t="shared" ref="E3:E11" si="0">A3^2</f>
        <v>100</v>
      </c>
      <c r="F3">
        <f t="shared" ref="F3:F11" si="1">$D$2+$D$3*A3</f>
        <v>0.8843510578659961</v>
      </c>
      <c r="H3">
        <f t="shared" ref="H3:H11" si="2">AVERAGE($A$2:$A$11)</f>
        <v>57.1</v>
      </c>
    </row>
    <row r="4" spans="1:8" x14ac:dyDescent="0.3">
      <c r="A4" s="27">
        <v>13</v>
      </c>
      <c r="B4" s="27">
        <v>1</v>
      </c>
      <c r="E4">
        <f t="shared" si="0"/>
        <v>169</v>
      </c>
      <c r="F4">
        <f t="shared" si="1"/>
        <v>1.1910802898490538</v>
      </c>
      <c r="H4">
        <f t="shared" si="2"/>
        <v>57.1</v>
      </c>
    </row>
    <row r="5" spans="1:8" x14ac:dyDescent="0.3">
      <c r="A5" s="27">
        <v>45</v>
      </c>
      <c r="B5" s="27">
        <v>4</v>
      </c>
      <c r="E5">
        <f t="shared" si="0"/>
        <v>2025</v>
      </c>
      <c r="F5">
        <f t="shared" si="1"/>
        <v>4.4628587643350013</v>
      </c>
      <c r="H5">
        <f t="shared" si="2"/>
        <v>57.1</v>
      </c>
    </row>
    <row r="6" spans="1:8" x14ac:dyDescent="0.3">
      <c r="A6" s="27">
        <v>128</v>
      </c>
      <c r="B6" s="27">
        <v>13</v>
      </c>
      <c r="E6">
        <f t="shared" si="0"/>
        <v>16384</v>
      </c>
      <c r="F6">
        <f t="shared" si="1"/>
        <v>12.949034182532927</v>
      </c>
      <c r="H6">
        <f t="shared" si="2"/>
        <v>57.1</v>
      </c>
    </row>
    <row r="7" spans="1:8" x14ac:dyDescent="0.3">
      <c r="A7" s="27">
        <v>35</v>
      </c>
      <c r="B7" s="27">
        <v>3</v>
      </c>
      <c r="E7">
        <f t="shared" si="0"/>
        <v>1225</v>
      </c>
      <c r="F7">
        <f t="shared" si="1"/>
        <v>3.4404279910581423</v>
      </c>
      <c r="H7">
        <f t="shared" si="2"/>
        <v>57.1</v>
      </c>
    </row>
    <row r="8" spans="1:8" x14ac:dyDescent="0.3">
      <c r="A8" s="27">
        <v>90</v>
      </c>
      <c r="B8" s="27">
        <v>8</v>
      </c>
      <c r="E8">
        <f t="shared" si="0"/>
        <v>8100</v>
      </c>
      <c r="F8">
        <f t="shared" si="1"/>
        <v>9.063797244080865</v>
      </c>
      <c r="H8">
        <f t="shared" si="2"/>
        <v>57.1</v>
      </c>
    </row>
    <row r="9" spans="1:8" x14ac:dyDescent="0.3">
      <c r="A9" s="27">
        <v>45</v>
      </c>
      <c r="B9" s="27">
        <v>6</v>
      </c>
      <c r="E9">
        <f t="shared" si="0"/>
        <v>2025</v>
      </c>
      <c r="F9">
        <f t="shared" si="1"/>
        <v>4.4628587643350013</v>
      </c>
      <c r="H9">
        <f t="shared" si="2"/>
        <v>57.1</v>
      </c>
    </row>
    <row r="10" spans="1:8" x14ac:dyDescent="0.3">
      <c r="A10" s="27">
        <v>80</v>
      </c>
      <c r="B10" s="27">
        <v>9</v>
      </c>
      <c r="E10">
        <f t="shared" si="0"/>
        <v>6400</v>
      </c>
      <c r="F10">
        <f t="shared" si="1"/>
        <v>8.0413664708040056</v>
      </c>
      <c r="H10">
        <f t="shared" si="2"/>
        <v>57.1</v>
      </c>
    </row>
    <row r="11" spans="1:8" x14ac:dyDescent="0.3">
      <c r="A11" s="27">
        <v>100</v>
      </c>
      <c r="B11" s="27">
        <v>10</v>
      </c>
      <c r="E11">
        <f t="shared" si="0"/>
        <v>10000</v>
      </c>
      <c r="F11">
        <f t="shared" si="1"/>
        <v>10.086228017357723</v>
      </c>
      <c r="H11">
        <f t="shared" si="2"/>
        <v>57.1</v>
      </c>
    </row>
    <row r="12" spans="1:8" x14ac:dyDescent="0.3">
      <c r="A12" s="16">
        <f>SUM(A2:A11)</f>
        <v>571</v>
      </c>
      <c r="B12" s="16"/>
      <c r="E12">
        <f>SUM(E2:E11)</f>
        <v>47053</v>
      </c>
    </row>
    <row r="13" spans="1:8" x14ac:dyDescent="0.3">
      <c r="A13" s="16"/>
      <c r="B13" s="16"/>
    </row>
    <row r="14" spans="1:8" x14ac:dyDescent="0.3">
      <c r="A14" s="16"/>
      <c r="B14" s="16"/>
    </row>
    <row r="15" spans="1:8" x14ac:dyDescent="0.3">
      <c r="A15" s="16"/>
      <c r="B15" s="16"/>
    </row>
    <row r="21" spans="1:12" x14ac:dyDescent="0.3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</row>
    <row r="22" spans="1:12" x14ac:dyDescent="0.3">
      <c r="A22" s="16" t="s">
        <v>47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</row>
    <row r="23" spans="1:12" ht="15" thickBot="1" x14ac:dyDescent="0.35">
      <c r="A23" s="16"/>
      <c r="B23" s="16"/>
      <c r="C23" s="16"/>
      <c r="D23" s="16"/>
      <c r="E23" s="16"/>
      <c r="F23" s="16"/>
      <c r="G23" s="16"/>
      <c r="H23" s="16" t="s">
        <v>127</v>
      </c>
      <c r="I23" s="16">
        <f>SUMX2MY2(A2:A11,H2:H11)</f>
        <v>14448.9</v>
      </c>
      <c r="J23" s="16"/>
      <c r="K23" s="16"/>
      <c r="L23" s="16"/>
    </row>
    <row r="24" spans="1:12" x14ac:dyDescent="0.3">
      <c r="A24" s="39" t="s">
        <v>48</v>
      </c>
      <c r="B24" s="39"/>
      <c r="C24" s="16"/>
      <c r="D24" s="16"/>
      <c r="E24" s="16"/>
      <c r="F24" s="16"/>
      <c r="G24" s="16"/>
      <c r="H24" s="16" t="s">
        <v>49</v>
      </c>
      <c r="I24" s="40">
        <f>C33</f>
        <v>151.04369813619033</v>
      </c>
      <c r="J24" s="30" t="s">
        <v>50</v>
      </c>
      <c r="K24" s="41">
        <f>C33/B33</f>
        <v>151.04369813619033</v>
      </c>
      <c r="L24" s="16"/>
    </row>
    <row r="25" spans="1:12" x14ac:dyDescent="0.3">
      <c r="A25" s="37" t="s">
        <v>51</v>
      </c>
      <c r="B25" s="42">
        <v>0.98367096749930916</v>
      </c>
      <c r="C25" s="16"/>
      <c r="D25" s="16"/>
      <c r="E25" s="16"/>
      <c r="F25" s="16"/>
      <c r="G25" s="16"/>
      <c r="H25" s="16" t="s">
        <v>52</v>
      </c>
      <c r="I25" s="40">
        <f>C34</f>
        <v>5.0563018638097006</v>
      </c>
      <c r="J25" s="30" t="s">
        <v>53</v>
      </c>
      <c r="K25" s="41">
        <f>C34/B34</f>
        <v>0.63203773297621257</v>
      </c>
      <c r="L25" s="16"/>
    </row>
    <row r="26" spans="1:12" x14ac:dyDescent="0.3">
      <c r="A26" s="37" t="s">
        <v>54</v>
      </c>
      <c r="B26" s="43">
        <v>0.96760857230102693</v>
      </c>
      <c r="C26" s="16"/>
      <c r="D26" s="16"/>
      <c r="E26" s="16"/>
      <c r="F26" s="16"/>
      <c r="G26" s="16"/>
      <c r="H26" s="16" t="s">
        <v>55</v>
      </c>
      <c r="I26" s="40">
        <f>SUM(I24:I25)</f>
        <v>156.10000000000002</v>
      </c>
      <c r="J26" s="16"/>
      <c r="K26" s="16"/>
      <c r="L26" s="16"/>
    </row>
    <row r="27" spans="1:12" ht="16.2" x14ac:dyDescent="0.3">
      <c r="A27" s="37" t="s">
        <v>56</v>
      </c>
      <c r="B27" s="37">
        <v>0.96355964383865533</v>
      </c>
      <c r="C27" s="16">
        <f>1-((1-B26)*(B29-1)/(B29-2))</f>
        <v>0.96355964383865533</v>
      </c>
      <c r="D27" s="16">
        <f>1-((C34/C35)*(B29-1)/(B29-2))</f>
        <v>0.96355964383865522</v>
      </c>
      <c r="E27" s="16"/>
      <c r="F27" s="16"/>
      <c r="G27" s="16"/>
      <c r="H27" s="16" t="s">
        <v>57</v>
      </c>
      <c r="I27" s="44">
        <f>1-(I25/I26)</f>
        <v>0.96760857230102693</v>
      </c>
      <c r="J27" s="44">
        <f>RSQ(B2:B11,A2:A11)</f>
        <v>0.96760857230102693</v>
      </c>
      <c r="K27" s="15">
        <f>1-(I25/I26)</f>
        <v>0.96760857230102693</v>
      </c>
      <c r="L27" s="15">
        <f>I24/I26</f>
        <v>0.96760857230102693</v>
      </c>
    </row>
    <row r="28" spans="1:12" x14ac:dyDescent="0.3">
      <c r="A28" s="37" t="s">
        <v>58</v>
      </c>
      <c r="B28" s="45">
        <v>0.79500800812080663</v>
      </c>
      <c r="C28" s="16"/>
      <c r="D28" s="16"/>
      <c r="E28" s="16"/>
      <c r="F28" s="16"/>
      <c r="G28" s="16"/>
      <c r="H28" s="16" t="s">
        <v>59</v>
      </c>
      <c r="I28" s="46">
        <f>SQRT(I27)</f>
        <v>0.98367096749930916</v>
      </c>
      <c r="J28" s="46">
        <f>CORREL(A2:A11,B2:B11)</f>
        <v>0.98367096749930916</v>
      </c>
      <c r="K28" s="46">
        <f>PEARSON(A2:A11,B2:B11)</f>
        <v>0.98367096749930916</v>
      </c>
      <c r="L28" s="16"/>
    </row>
    <row r="29" spans="1:12" ht="15" thickBot="1" x14ac:dyDescent="0.35">
      <c r="A29" s="38" t="s">
        <v>60</v>
      </c>
      <c r="B29" s="38">
        <v>10</v>
      </c>
      <c r="C29" s="16"/>
      <c r="D29" s="16"/>
      <c r="E29" s="16"/>
      <c r="F29" s="16"/>
      <c r="G29" s="16"/>
      <c r="H29" s="16" t="s">
        <v>61</v>
      </c>
      <c r="I29" s="47">
        <f>D33/D34</f>
        <v>238.97892523748266</v>
      </c>
      <c r="J29" s="16"/>
      <c r="K29" s="16"/>
      <c r="L29" s="16"/>
    </row>
    <row r="30" spans="1:12" ht="15.6" x14ac:dyDescent="0.35">
      <c r="A30" s="16"/>
      <c r="B30" s="16"/>
      <c r="C30" s="16"/>
      <c r="D30" s="16"/>
      <c r="E30" s="16"/>
      <c r="F30" s="16"/>
      <c r="G30" s="16"/>
      <c r="H30" s="16" t="s">
        <v>128</v>
      </c>
      <c r="I30" s="48">
        <f>STEYX(B2:B11,A2:A11)</f>
        <v>0.79500800812080608</v>
      </c>
      <c r="J30" s="16"/>
      <c r="K30" s="16"/>
      <c r="L30" s="16"/>
    </row>
    <row r="31" spans="1:12" ht="15" thickBot="1" x14ac:dyDescent="0.35">
      <c r="A31" s="16" t="s">
        <v>62</v>
      </c>
      <c r="B31" s="16"/>
      <c r="C31" s="16"/>
      <c r="D31" s="16"/>
      <c r="E31" s="16"/>
      <c r="F31" s="16"/>
      <c r="G31" s="16"/>
      <c r="H31" s="16" t="s">
        <v>63</v>
      </c>
      <c r="I31" s="49">
        <f>2*FTEST(B2:B11,A2:A11)</f>
        <v>3.4656901249553093E-7</v>
      </c>
      <c r="J31" s="16" t="s">
        <v>64</v>
      </c>
      <c r="K31" s="16">
        <f>2*FDIST(E33,B33,B35)</f>
        <v>1.7361422710641009E-7</v>
      </c>
      <c r="L31" s="16" t="s">
        <v>64</v>
      </c>
    </row>
    <row r="32" spans="1:12" ht="15.6" x14ac:dyDescent="0.35">
      <c r="A32" s="50"/>
      <c r="B32" s="50" t="s">
        <v>65</v>
      </c>
      <c r="C32" s="50" t="s">
        <v>66</v>
      </c>
      <c r="D32" s="50" t="s">
        <v>67</v>
      </c>
      <c r="E32" s="50" t="s">
        <v>46</v>
      </c>
      <c r="F32" s="50" t="s">
        <v>68</v>
      </c>
      <c r="G32" s="16"/>
      <c r="H32" s="51" t="s">
        <v>129</v>
      </c>
      <c r="I32" s="52">
        <f>B29-B33-1</f>
        <v>8</v>
      </c>
      <c r="J32" s="16"/>
      <c r="K32" s="47">
        <f>FINV(F33,B33,B35)</f>
        <v>178.76664454833033</v>
      </c>
      <c r="L32" s="16"/>
    </row>
    <row r="33" spans="1:12" ht="15.6" x14ac:dyDescent="0.35">
      <c r="A33" s="37" t="s">
        <v>69</v>
      </c>
      <c r="B33" s="37">
        <v>1</v>
      </c>
      <c r="C33" s="53">
        <v>151.04369813619033</v>
      </c>
      <c r="D33" s="54">
        <v>151.04369813619033</v>
      </c>
      <c r="E33" s="55">
        <v>238.97892523748266</v>
      </c>
      <c r="F33" s="56">
        <v>3.0498913966970695E-7</v>
      </c>
      <c r="G33" s="16"/>
      <c r="H33" t="s">
        <v>130</v>
      </c>
      <c r="I33" s="16"/>
      <c r="J33" s="16"/>
      <c r="K33" s="16"/>
      <c r="L33" s="16"/>
    </row>
    <row r="34" spans="1:12" x14ac:dyDescent="0.3">
      <c r="A34" s="37" t="s">
        <v>70</v>
      </c>
      <c r="B34" s="57">
        <v>8</v>
      </c>
      <c r="C34" s="53">
        <v>5.0563018638097006</v>
      </c>
      <c r="D34" s="54">
        <v>0.63203773297621257</v>
      </c>
      <c r="E34" s="37"/>
      <c r="F34" s="37"/>
      <c r="G34" s="14">
        <f>SQRT(D34)</f>
        <v>0.79500800812080663</v>
      </c>
      <c r="H34" s="16"/>
      <c r="I34" s="16"/>
      <c r="J34" s="16"/>
      <c r="K34" s="16"/>
      <c r="L34" s="16"/>
    </row>
    <row r="35" spans="1:12" ht="15" thickBot="1" x14ac:dyDescent="0.35">
      <c r="A35" s="38" t="s">
        <v>71</v>
      </c>
      <c r="B35" s="38">
        <v>9</v>
      </c>
      <c r="C35" s="58">
        <v>156.1</v>
      </c>
      <c r="D35" s="38"/>
      <c r="E35" s="38"/>
      <c r="F35" s="38"/>
      <c r="G35" s="16"/>
      <c r="H35" s="16"/>
      <c r="I35" s="16"/>
      <c r="J35" s="16"/>
      <c r="K35" s="16"/>
      <c r="L35" s="16"/>
    </row>
    <row r="36" spans="1:12" ht="15" thickBot="1" x14ac:dyDescent="0.3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</row>
    <row r="37" spans="1:12" x14ac:dyDescent="0.3">
      <c r="A37" s="50"/>
      <c r="B37" s="50" t="s">
        <v>72</v>
      </c>
      <c r="C37" s="50" t="s">
        <v>58</v>
      </c>
      <c r="D37" s="50" t="s">
        <v>73</v>
      </c>
      <c r="E37" s="50" t="s">
        <v>74</v>
      </c>
      <c r="F37" s="50" t="s">
        <v>75</v>
      </c>
      <c r="G37" s="50" t="s">
        <v>76</v>
      </c>
      <c r="H37" s="50" t="s">
        <v>77</v>
      </c>
      <c r="I37" s="50" t="s">
        <v>78</v>
      </c>
      <c r="J37" s="16"/>
      <c r="K37" s="16"/>
      <c r="L37" s="16"/>
    </row>
    <row r="38" spans="1:12" x14ac:dyDescent="0.3">
      <c r="A38" s="37" t="s">
        <v>79</v>
      </c>
      <c r="B38" s="37">
        <v>-0.13807971541086334</v>
      </c>
      <c r="C38" s="37">
        <v>0.45367805232830599</v>
      </c>
      <c r="D38" s="37">
        <v>-0.30435617218472227</v>
      </c>
      <c r="E38" s="37">
        <v>0.76862317307185901</v>
      </c>
      <c r="F38" s="37">
        <v>-1.1842638566773698</v>
      </c>
      <c r="G38" s="37">
        <v>0.90810442585564322</v>
      </c>
      <c r="H38" s="37">
        <v>-1.1842638566773698</v>
      </c>
      <c r="I38" s="37">
        <v>0.90810442585564322</v>
      </c>
      <c r="J38" s="16"/>
      <c r="K38" s="16"/>
      <c r="L38" s="16"/>
    </row>
    <row r="39" spans="1:12" ht="15" thickBot="1" x14ac:dyDescent="0.35">
      <c r="A39" s="38" t="s">
        <v>41</v>
      </c>
      <c r="B39" s="38">
        <v>0.10224307732768587</v>
      </c>
      <c r="C39" s="60">
        <v>6.6138464915967109E-3</v>
      </c>
      <c r="D39" s="61">
        <v>15.458943212182477</v>
      </c>
      <c r="E39" s="38">
        <v>3.0498913966970711E-7</v>
      </c>
      <c r="F39" s="38">
        <v>8.6991510105579165E-2</v>
      </c>
      <c r="G39" s="38">
        <v>0.11749464454979257</v>
      </c>
      <c r="H39" s="38">
        <v>8.6991510105579165E-2</v>
      </c>
      <c r="I39" s="38">
        <v>0.11749464454979257</v>
      </c>
      <c r="J39" s="16"/>
      <c r="K39" s="16"/>
      <c r="L39" s="16"/>
    </row>
    <row r="40" spans="1:12" x14ac:dyDescent="0.3">
      <c r="A40" s="16"/>
      <c r="B40" s="16"/>
      <c r="C40" s="59">
        <f>SQRT((I25/8)/(E12-(A12^2/10)))</f>
        <v>6.61384649159671E-3</v>
      </c>
      <c r="D40" s="16"/>
      <c r="E40" s="16"/>
      <c r="F40" s="16"/>
      <c r="G40" s="16"/>
      <c r="H40" s="16"/>
      <c r="I40" s="16"/>
      <c r="J40" s="16"/>
      <c r="K40" s="16"/>
      <c r="L40" s="16"/>
    </row>
    <row r="41" spans="1:12" x14ac:dyDescent="0.3">
      <c r="A41" s="16"/>
      <c r="B41" s="16"/>
      <c r="C41" s="59">
        <f>SQRT((C34/(B29-2))/I23)</f>
        <v>6.6138464915967109E-3</v>
      </c>
      <c r="D41" s="62">
        <f>B39/C41</f>
        <v>15.458943212182477</v>
      </c>
      <c r="E41" s="16"/>
      <c r="F41" s="16"/>
      <c r="G41" s="16"/>
      <c r="H41" s="16"/>
      <c r="I41" s="16"/>
      <c r="J41" s="16"/>
      <c r="K41" s="16"/>
      <c r="L41" s="16"/>
    </row>
    <row r="42" spans="1:12" x14ac:dyDescent="0.3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</row>
    <row r="43" spans="1:12" x14ac:dyDescent="0.3">
      <c r="A43" s="16" t="s">
        <v>80</v>
      </c>
      <c r="B43" s="16"/>
      <c r="C43" s="16"/>
      <c r="D43" s="16"/>
      <c r="E43" s="16"/>
      <c r="F43" s="16" t="s">
        <v>81</v>
      </c>
      <c r="G43" s="16"/>
      <c r="H43" s="16"/>
      <c r="I43" s="16"/>
      <c r="J43" s="16"/>
      <c r="K43" s="16"/>
      <c r="L43" s="16"/>
    </row>
    <row r="44" spans="1:12" ht="15" thickBot="1" x14ac:dyDescent="0.3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</row>
    <row r="45" spans="1:12" x14ac:dyDescent="0.3">
      <c r="A45" s="50" t="s">
        <v>82</v>
      </c>
      <c r="B45" s="50" t="s">
        <v>83</v>
      </c>
      <c r="C45" s="50" t="s">
        <v>3</v>
      </c>
      <c r="D45" s="50" t="s">
        <v>84</v>
      </c>
      <c r="E45" s="16"/>
      <c r="F45" s="50" t="s">
        <v>85</v>
      </c>
      <c r="G45" s="50" t="s">
        <v>42</v>
      </c>
      <c r="H45" s="16"/>
      <c r="I45" s="16"/>
      <c r="J45" s="16"/>
      <c r="K45" s="16"/>
      <c r="L45" s="16"/>
    </row>
    <row r="46" spans="1:12" x14ac:dyDescent="0.3">
      <c r="A46" s="37">
        <v>1</v>
      </c>
      <c r="B46" s="37">
        <v>2.4179972177812834</v>
      </c>
      <c r="C46" s="37">
        <v>-0.4179972177812834</v>
      </c>
      <c r="D46" s="37">
        <v>-0.55767111310407458</v>
      </c>
      <c r="E46" s="16"/>
      <c r="F46" s="37">
        <v>5</v>
      </c>
      <c r="G46" s="37">
        <v>1</v>
      </c>
      <c r="H46" s="16"/>
      <c r="I46" s="16"/>
      <c r="J46" s="16"/>
      <c r="K46" s="16"/>
      <c r="L46" s="16"/>
    </row>
    <row r="47" spans="1:12" x14ac:dyDescent="0.3">
      <c r="A47" s="37">
        <v>2</v>
      </c>
      <c r="B47" s="37">
        <v>0.88435105786599544</v>
      </c>
      <c r="C47" s="37">
        <v>0.11564894213400456</v>
      </c>
      <c r="D47" s="37">
        <v>0.15429307073265136</v>
      </c>
      <c r="E47" s="16"/>
      <c r="F47" s="37">
        <v>15</v>
      </c>
      <c r="G47" s="37">
        <v>1</v>
      </c>
      <c r="H47" s="16"/>
      <c r="I47" s="16"/>
      <c r="J47" s="16"/>
      <c r="K47" s="16"/>
      <c r="L47" s="16"/>
    </row>
    <row r="48" spans="1:12" x14ac:dyDescent="0.3">
      <c r="A48" s="37">
        <v>3</v>
      </c>
      <c r="B48" s="37">
        <v>1.1910802898490529</v>
      </c>
      <c r="C48" s="37">
        <v>-0.1910802898490529</v>
      </c>
      <c r="D48" s="37">
        <v>-0.25492982584426654</v>
      </c>
      <c r="E48" s="16"/>
      <c r="F48" s="37">
        <v>25</v>
      </c>
      <c r="G48" s="37">
        <v>2</v>
      </c>
      <c r="H48" s="16"/>
      <c r="I48" s="16"/>
      <c r="J48" s="16"/>
      <c r="K48" s="16"/>
      <c r="L48" s="16"/>
    </row>
    <row r="49" spans="1:12" x14ac:dyDescent="0.3">
      <c r="A49" s="37">
        <v>4</v>
      </c>
      <c r="B49" s="37">
        <v>4.4628587643350004</v>
      </c>
      <c r="C49" s="37">
        <v>-0.46285876433500039</v>
      </c>
      <c r="D49" s="37">
        <v>-0.61752315885446585</v>
      </c>
      <c r="E49" s="16"/>
      <c r="F49" s="37">
        <v>35</v>
      </c>
      <c r="G49" s="37">
        <v>3</v>
      </c>
      <c r="H49" s="16"/>
      <c r="I49" s="16"/>
      <c r="J49" s="16"/>
      <c r="K49" s="16"/>
      <c r="L49" s="16"/>
    </row>
    <row r="50" spans="1:12" x14ac:dyDescent="0.3">
      <c r="A50" s="37">
        <v>5</v>
      </c>
      <c r="B50" s="37">
        <v>12.949034182532927</v>
      </c>
      <c r="C50" s="37">
        <v>5.0965817467073293E-2</v>
      </c>
      <c r="D50" s="37">
        <v>6.7996060614914713E-2</v>
      </c>
      <c r="E50" s="16"/>
      <c r="F50" s="37">
        <v>45</v>
      </c>
      <c r="G50" s="37">
        <v>4</v>
      </c>
      <c r="H50" s="16"/>
      <c r="I50" s="16"/>
      <c r="J50" s="16"/>
      <c r="K50" s="16"/>
      <c r="L50" s="16"/>
    </row>
    <row r="51" spans="1:12" x14ac:dyDescent="0.3">
      <c r="A51" s="37">
        <v>6</v>
      </c>
      <c r="B51" s="37">
        <v>3.4404279910581419</v>
      </c>
      <c r="C51" s="37">
        <v>-0.4404279910581419</v>
      </c>
      <c r="D51" s="37">
        <v>-0.58759713597927021</v>
      </c>
      <c r="E51" s="16"/>
      <c r="F51" s="37">
        <v>55</v>
      </c>
      <c r="G51" s="37">
        <v>6</v>
      </c>
      <c r="H51" s="16"/>
      <c r="I51" s="16"/>
      <c r="J51" s="16"/>
      <c r="K51" s="16"/>
      <c r="L51" s="16"/>
    </row>
    <row r="52" spans="1:12" x14ac:dyDescent="0.3">
      <c r="A52" s="37">
        <v>7</v>
      </c>
      <c r="B52" s="37">
        <v>9.0637972440808632</v>
      </c>
      <c r="C52" s="37">
        <v>-1.0637972440808632</v>
      </c>
      <c r="D52" s="37">
        <v>-1.4192654113167777</v>
      </c>
      <c r="E52" s="16"/>
      <c r="F52" s="37">
        <v>65</v>
      </c>
      <c r="G52" s="37">
        <v>8</v>
      </c>
      <c r="H52" s="16"/>
      <c r="I52" s="16"/>
      <c r="J52" s="16"/>
      <c r="K52" s="16"/>
      <c r="L52" s="16"/>
    </row>
    <row r="53" spans="1:12" x14ac:dyDescent="0.3">
      <c r="A53" s="37">
        <v>8</v>
      </c>
      <c r="B53" s="37">
        <v>4.4628587643350004</v>
      </c>
      <c r="C53" s="37">
        <v>1.5371412356649996</v>
      </c>
      <c r="D53" s="37">
        <v>2.0507774392412634</v>
      </c>
      <c r="E53" s="16"/>
      <c r="F53" s="37">
        <v>75</v>
      </c>
      <c r="G53" s="37">
        <v>9</v>
      </c>
      <c r="H53" s="16"/>
      <c r="I53" s="16"/>
      <c r="J53" s="16"/>
      <c r="K53" s="16"/>
      <c r="L53" s="16"/>
    </row>
    <row r="54" spans="1:12" x14ac:dyDescent="0.3">
      <c r="A54" s="37">
        <v>9</v>
      </c>
      <c r="B54" s="37">
        <v>8.0413664708040056</v>
      </c>
      <c r="C54" s="37">
        <v>0.95863352919599443</v>
      </c>
      <c r="D54" s="37">
        <v>1.2789612096541458</v>
      </c>
      <c r="E54" s="16"/>
      <c r="F54" s="37">
        <v>85</v>
      </c>
      <c r="G54" s="37">
        <v>10</v>
      </c>
      <c r="H54" s="16"/>
      <c r="I54" s="16"/>
      <c r="J54" s="16"/>
      <c r="K54" s="16"/>
      <c r="L54" s="16"/>
    </row>
    <row r="55" spans="1:12" ht="15" thickBot="1" x14ac:dyDescent="0.35">
      <c r="A55" s="38">
        <v>10</v>
      </c>
      <c r="B55" s="38">
        <v>10.086228017357723</v>
      </c>
      <c r="C55" s="38">
        <v>-8.6228017357722564E-2</v>
      </c>
      <c r="D55" s="38">
        <v>-0.11504113514411002</v>
      </c>
      <c r="E55" s="16"/>
      <c r="F55" s="38">
        <v>95</v>
      </c>
      <c r="G55" s="38">
        <v>13</v>
      </c>
      <c r="H55" s="16"/>
      <c r="I55" s="16"/>
      <c r="J55" s="16"/>
      <c r="K55" s="16"/>
      <c r="L55" s="16"/>
    </row>
    <row r="56" spans="1:12" x14ac:dyDescent="0.3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J25" sqref="J25"/>
    </sheetView>
  </sheetViews>
  <sheetFormatPr defaultRowHeight="14.4" x14ac:dyDescent="0.3"/>
  <cols>
    <col min="1" max="1" width="16.77734375" customWidth="1"/>
    <col min="2" max="4" width="15.6640625" customWidth="1"/>
    <col min="5" max="9" width="13.109375" customWidth="1"/>
  </cols>
  <sheetData>
    <row r="1" spans="1:9" x14ac:dyDescent="0.3">
      <c r="A1" t="s">
        <v>47</v>
      </c>
    </row>
    <row r="2" spans="1:9" ht="15" thickBot="1" x14ac:dyDescent="0.35"/>
    <row r="3" spans="1:9" x14ac:dyDescent="0.3">
      <c r="A3" s="13" t="s">
        <v>48</v>
      </c>
      <c r="B3" s="13"/>
    </row>
    <row r="4" spans="1:9" x14ac:dyDescent="0.3">
      <c r="A4" s="7" t="s">
        <v>51</v>
      </c>
      <c r="B4" s="7">
        <v>0.98367096749930916</v>
      </c>
    </row>
    <row r="5" spans="1:9" x14ac:dyDescent="0.3">
      <c r="A5" s="7" t="s">
        <v>54</v>
      </c>
      <c r="B5" s="7">
        <v>0.96760857230102693</v>
      </c>
    </row>
    <row r="6" spans="1:9" x14ac:dyDescent="0.3">
      <c r="A6" s="7" t="s">
        <v>56</v>
      </c>
      <c r="B6" s="7">
        <v>0.96355964383865533</v>
      </c>
    </row>
    <row r="7" spans="1:9" x14ac:dyDescent="0.3">
      <c r="A7" s="7" t="s">
        <v>58</v>
      </c>
      <c r="B7" s="7">
        <v>0.79500800812080674</v>
      </c>
    </row>
    <row r="8" spans="1:9" ht="15" thickBot="1" x14ac:dyDescent="0.35">
      <c r="A8" s="8" t="s">
        <v>60</v>
      </c>
      <c r="B8" s="8">
        <v>10</v>
      </c>
    </row>
    <row r="10" spans="1:9" ht="15" thickBot="1" x14ac:dyDescent="0.35">
      <c r="A10" t="s">
        <v>62</v>
      </c>
    </row>
    <row r="11" spans="1:9" x14ac:dyDescent="0.3">
      <c r="A11" s="12"/>
      <c r="B11" s="12" t="s">
        <v>65</v>
      </c>
      <c r="C11" s="12" t="s">
        <v>66</v>
      </c>
      <c r="D11" s="12" t="s">
        <v>67</v>
      </c>
      <c r="E11" s="12" t="s">
        <v>46</v>
      </c>
      <c r="F11" s="12" t="s">
        <v>68</v>
      </c>
    </row>
    <row r="12" spans="1:9" x14ac:dyDescent="0.3">
      <c r="A12" s="7" t="s">
        <v>69</v>
      </c>
      <c r="B12" s="7">
        <v>1</v>
      </c>
      <c r="C12" s="7">
        <v>151.04369813619033</v>
      </c>
      <c r="D12" s="7">
        <v>151.04369813619033</v>
      </c>
      <c r="E12" s="7">
        <v>238.9789252374826</v>
      </c>
      <c r="F12" s="7">
        <v>3.0498913969265651E-7</v>
      </c>
    </row>
    <row r="13" spans="1:9" x14ac:dyDescent="0.3">
      <c r="A13" s="7" t="s">
        <v>70</v>
      </c>
      <c r="B13" s="7">
        <v>8</v>
      </c>
      <c r="C13" s="7">
        <v>5.0563018638097015</v>
      </c>
      <c r="D13" s="7">
        <v>0.63203773297621269</v>
      </c>
      <c r="E13" s="7"/>
      <c r="F13" s="7"/>
    </row>
    <row r="14" spans="1:9" ht="15" thickBot="1" x14ac:dyDescent="0.35">
      <c r="A14" s="8" t="s">
        <v>71</v>
      </c>
      <c r="B14" s="8">
        <v>9</v>
      </c>
      <c r="C14" s="8">
        <v>156.10000000000002</v>
      </c>
      <c r="D14" s="8"/>
      <c r="E14" s="8"/>
      <c r="F14" s="8"/>
    </row>
    <row r="15" spans="1:9" ht="15" thickBot="1" x14ac:dyDescent="0.35"/>
    <row r="16" spans="1:9" x14ac:dyDescent="0.3">
      <c r="A16" s="12"/>
      <c r="B16" s="12" t="s">
        <v>72</v>
      </c>
      <c r="C16" s="12" t="s">
        <v>58</v>
      </c>
      <c r="D16" s="12" t="s">
        <v>73</v>
      </c>
      <c r="E16" s="12" t="s">
        <v>74</v>
      </c>
      <c r="F16" s="12" t="s">
        <v>75</v>
      </c>
      <c r="G16" s="12" t="s">
        <v>76</v>
      </c>
      <c r="H16" s="12" t="s">
        <v>77</v>
      </c>
      <c r="I16" s="12" t="s">
        <v>78</v>
      </c>
    </row>
    <row r="17" spans="1:9" x14ac:dyDescent="0.3">
      <c r="A17" s="7" t="s">
        <v>79</v>
      </c>
      <c r="B17" s="7">
        <v>-0.1380797154108615</v>
      </c>
      <c r="C17" s="7">
        <v>0.45367805232830605</v>
      </c>
      <c r="D17" s="7">
        <v>-0.30435617218471817</v>
      </c>
      <c r="E17" s="7">
        <v>0.76862317305447614</v>
      </c>
      <c r="F17" s="7">
        <v>-1.1842631801313077</v>
      </c>
      <c r="G17" s="7">
        <v>0.90810374930958471</v>
      </c>
      <c r="H17" s="7">
        <v>-1.1842631801313077</v>
      </c>
      <c r="I17" s="7">
        <v>0.90810374930958471</v>
      </c>
    </row>
    <row r="18" spans="1:9" ht="15" thickBot="1" x14ac:dyDescent="0.35">
      <c r="A18" s="8" t="s">
        <v>41</v>
      </c>
      <c r="B18" s="8">
        <v>0.10224307732768584</v>
      </c>
      <c r="C18" s="8">
        <v>6.6138464915967117E-3</v>
      </c>
      <c r="D18" s="8">
        <v>15.45894321218247</v>
      </c>
      <c r="E18" s="8">
        <v>3.0498913969265704E-7</v>
      </c>
      <c r="F18" s="8">
        <v>8.6991519968458247E-2</v>
      </c>
      <c r="G18" s="8">
        <v>0.11749463468691343</v>
      </c>
      <c r="H18" s="8">
        <v>8.6991519968458247E-2</v>
      </c>
      <c r="I18" s="8">
        <v>0.11749463468691343</v>
      </c>
    </row>
    <row r="22" spans="1:9" x14ac:dyDescent="0.3">
      <c r="A22" t="s">
        <v>80</v>
      </c>
      <c r="F22" t="s">
        <v>81</v>
      </c>
    </row>
    <row r="23" spans="1:9" ht="15" thickBot="1" x14ac:dyDescent="0.35"/>
    <row r="24" spans="1:9" x14ac:dyDescent="0.3">
      <c r="A24" s="12" t="s">
        <v>82</v>
      </c>
      <c r="B24" s="12" t="s">
        <v>83</v>
      </c>
      <c r="C24" s="12" t="s">
        <v>3</v>
      </c>
      <c r="D24" s="12" t="s">
        <v>84</v>
      </c>
      <c r="F24" s="12" t="s">
        <v>85</v>
      </c>
      <c r="G24" s="12" t="s">
        <v>42</v>
      </c>
    </row>
    <row r="25" spans="1:9" x14ac:dyDescent="0.3">
      <c r="A25" s="7">
        <v>1</v>
      </c>
      <c r="B25" s="7">
        <v>2.4179972177812843</v>
      </c>
      <c r="C25" s="7">
        <v>-0.41799721778128429</v>
      </c>
      <c r="D25" s="7">
        <v>-0.55767111310407591</v>
      </c>
      <c r="F25" s="7">
        <v>5</v>
      </c>
      <c r="G25" s="7">
        <v>1</v>
      </c>
    </row>
    <row r="26" spans="1:9" x14ac:dyDescent="0.3">
      <c r="A26" s="7">
        <v>2</v>
      </c>
      <c r="B26" s="7">
        <v>0.88435105786599699</v>
      </c>
      <c r="C26" s="7">
        <v>0.11564894213400301</v>
      </c>
      <c r="D26" s="7">
        <v>0.15429307073264933</v>
      </c>
      <c r="F26" s="7">
        <v>15</v>
      </c>
      <c r="G26" s="7">
        <v>1</v>
      </c>
    </row>
    <row r="27" spans="1:9" x14ac:dyDescent="0.3">
      <c r="A27" s="7">
        <v>3</v>
      </c>
      <c r="B27" s="7">
        <v>1.1910802898490545</v>
      </c>
      <c r="C27" s="7">
        <v>-0.19108028984905445</v>
      </c>
      <c r="D27" s="7">
        <v>-0.25492982584426871</v>
      </c>
      <c r="F27" s="7">
        <v>25</v>
      </c>
      <c r="G27" s="7">
        <v>2</v>
      </c>
    </row>
    <row r="28" spans="1:9" x14ac:dyDescent="0.3">
      <c r="A28" s="7">
        <v>4</v>
      </c>
      <c r="B28" s="7">
        <v>4.4628587643350013</v>
      </c>
      <c r="C28" s="7">
        <v>-0.46285876433500128</v>
      </c>
      <c r="D28" s="7">
        <v>-0.61752315885446718</v>
      </c>
      <c r="F28" s="7">
        <v>35</v>
      </c>
      <c r="G28" s="7">
        <v>3</v>
      </c>
    </row>
    <row r="29" spans="1:9" x14ac:dyDescent="0.3">
      <c r="A29" s="7">
        <v>5</v>
      </c>
      <c r="B29" s="7">
        <v>12.949034182532927</v>
      </c>
      <c r="C29" s="7">
        <v>5.0965817467073293E-2</v>
      </c>
      <c r="D29" s="7">
        <v>6.7996060614914727E-2</v>
      </c>
      <c r="F29" s="7">
        <v>45</v>
      </c>
      <c r="G29" s="7">
        <v>4</v>
      </c>
    </row>
    <row r="30" spans="1:9" x14ac:dyDescent="0.3">
      <c r="A30" s="7">
        <v>6</v>
      </c>
      <c r="B30" s="7">
        <v>3.4404279910581428</v>
      </c>
      <c r="C30" s="7">
        <v>-0.44042799105814279</v>
      </c>
      <c r="D30" s="7">
        <v>-0.58759713597927155</v>
      </c>
      <c r="F30" s="7">
        <v>55</v>
      </c>
      <c r="G30" s="7">
        <v>6</v>
      </c>
    </row>
    <row r="31" spans="1:9" x14ac:dyDescent="0.3">
      <c r="A31" s="7">
        <v>7</v>
      </c>
      <c r="B31" s="7">
        <v>9.0637972440808632</v>
      </c>
      <c r="C31" s="7">
        <v>-1.0637972440808632</v>
      </c>
      <c r="D31" s="7">
        <v>-1.4192654113167782</v>
      </c>
      <c r="F31" s="7">
        <v>65</v>
      </c>
      <c r="G31" s="7">
        <v>8</v>
      </c>
    </row>
    <row r="32" spans="1:9" x14ac:dyDescent="0.3">
      <c r="A32" s="7">
        <v>8</v>
      </c>
      <c r="B32" s="7">
        <v>4.4628587643350013</v>
      </c>
      <c r="C32" s="7">
        <v>1.5371412356649987</v>
      </c>
      <c r="D32" s="7">
        <v>2.0507774392412625</v>
      </c>
      <c r="F32" s="7">
        <v>75</v>
      </c>
      <c r="G32" s="7">
        <v>9</v>
      </c>
    </row>
    <row r="33" spans="1:7" x14ac:dyDescent="0.3">
      <c r="A33" s="7">
        <v>9</v>
      </c>
      <c r="B33" s="7">
        <v>8.0413664708040073</v>
      </c>
      <c r="C33" s="7">
        <v>0.95863352919599265</v>
      </c>
      <c r="D33" s="7">
        <v>1.2789612096541438</v>
      </c>
      <c r="F33" s="7">
        <v>85</v>
      </c>
      <c r="G33" s="7">
        <v>10</v>
      </c>
    </row>
    <row r="34" spans="1:7" ht="15" thickBot="1" x14ac:dyDescent="0.35">
      <c r="A34" s="8">
        <v>10</v>
      </c>
      <c r="B34" s="8">
        <v>10.086228017357723</v>
      </c>
      <c r="C34" s="8">
        <v>-8.6228017357722564E-2</v>
      </c>
      <c r="D34" s="8">
        <v>-0.11504113514411005</v>
      </c>
      <c r="F34" s="8">
        <v>95</v>
      </c>
      <c r="G34" s="8">
        <v>13</v>
      </c>
    </row>
  </sheetData>
  <sortState ref="G25:G34">
    <sortCondition ref="G25"/>
  </sortState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C3" sqref="C3"/>
    </sheetView>
  </sheetViews>
  <sheetFormatPr defaultRowHeight="14.4" x14ac:dyDescent="0.3"/>
  <cols>
    <col min="1" max="1" width="5.21875" customWidth="1"/>
    <col min="2" max="2" width="6.6640625" customWidth="1"/>
    <col min="3" max="3" width="17.5546875" customWidth="1"/>
    <col min="4" max="4" width="11.44140625" customWidth="1"/>
    <col min="5" max="5" width="11.21875" customWidth="1"/>
    <col min="6" max="6" width="12.5546875" customWidth="1"/>
    <col min="7" max="7" width="13.5546875" customWidth="1"/>
  </cols>
  <sheetData>
    <row r="1" spans="1:8" x14ac:dyDescent="0.3">
      <c r="A1" s="20" t="s">
        <v>86</v>
      </c>
      <c r="B1" s="21">
        <f>TINV(D1,F1)</f>
        <v>2.2621571627982053</v>
      </c>
      <c r="C1" s="22" t="s">
        <v>87</v>
      </c>
      <c r="D1" s="23">
        <v>0.05</v>
      </c>
      <c r="E1" s="22" t="s">
        <v>88</v>
      </c>
      <c r="F1" s="23">
        <v>9</v>
      </c>
      <c r="G1" s="24">
        <f>100*(1-D1)</f>
        <v>95</v>
      </c>
      <c r="H1" s="16"/>
    </row>
    <row r="2" spans="1:8" ht="16.2" x14ac:dyDescent="0.3">
      <c r="A2" s="25" t="s">
        <v>89</v>
      </c>
      <c r="B2" s="25" t="s">
        <v>42</v>
      </c>
      <c r="C2" s="25" t="s">
        <v>120</v>
      </c>
      <c r="D2" s="25" t="s">
        <v>119</v>
      </c>
      <c r="E2" s="25" t="s">
        <v>90</v>
      </c>
      <c r="F2" s="25" t="s">
        <v>91</v>
      </c>
      <c r="G2" s="26" t="s">
        <v>92</v>
      </c>
      <c r="H2" s="16"/>
    </row>
    <row r="3" spans="1:8" x14ac:dyDescent="0.3">
      <c r="A3" s="27">
        <v>1</v>
      </c>
      <c r="B3" s="27">
        <v>2</v>
      </c>
      <c r="C3" s="17">
        <f>TREND($B$3:$B$12,$A$3:$A$12,A3)</f>
        <v>1.472727272727272</v>
      </c>
      <c r="D3" s="17">
        <f>(B3-C3)^2</f>
        <v>0.27801652892562062</v>
      </c>
      <c r="E3" s="18">
        <f t="shared" ref="E3:E12" si="0">C3+$B$1*SQRT($D$14)</f>
        <v>8.7722149841684267</v>
      </c>
      <c r="F3" s="18">
        <f t="shared" ref="F3:F12" si="1">C3-$B$1*SQRT($D$14)</f>
        <v>-5.8267604387138832</v>
      </c>
      <c r="G3" s="28" t="s">
        <v>93</v>
      </c>
      <c r="H3" s="17"/>
    </row>
    <row r="4" spans="1:8" x14ac:dyDescent="0.3">
      <c r="A4" s="27">
        <v>2</v>
      </c>
      <c r="B4" s="27">
        <v>1</v>
      </c>
      <c r="C4" s="17">
        <f t="shared" ref="C4:C12" si="2">TREND($B$3:$B$12,$A$3:$A$12,A4)</f>
        <v>2.4121212121212117</v>
      </c>
      <c r="D4" s="17">
        <f t="shared" ref="D4:D12" si="3">(B4-C4)^2</f>
        <v>1.99408631772268</v>
      </c>
      <c r="E4" s="18">
        <f t="shared" si="0"/>
        <v>9.7116089235623662</v>
      </c>
      <c r="F4" s="18">
        <f t="shared" si="1"/>
        <v>-4.8873664993199437</v>
      </c>
      <c r="G4" s="16"/>
      <c r="H4" s="17"/>
    </row>
    <row r="5" spans="1:8" x14ac:dyDescent="0.3">
      <c r="A5" s="27">
        <v>3</v>
      </c>
      <c r="B5" s="27">
        <v>1</v>
      </c>
      <c r="C5" s="17">
        <f t="shared" si="2"/>
        <v>3.3515151515151516</v>
      </c>
      <c r="D5" s="17">
        <f t="shared" si="3"/>
        <v>5.5296235078053266</v>
      </c>
      <c r="E5" s="18">
        <f t="shared" si="0"/>
        <v>10.651002862956307</v>
      </c>
      <c r="F5" s="18">
        <f t="shared" si="1"/>
        <v>-3.9479725599260034</v>
      </c>
      <c r="G5" s="16"/>
      <c r="H5" s="17"/>
    </row>
    <row r="6" spans="1:8" x14ac:dyDescent="0.3">
      <c r="A6" s="27">
        <v>4</v>
      </c>
      <c r="B6" s="27">
        <v>4</v>
      </c>
      <c r="C6" s="17">
        <f t="shared" si="2"/>
        <v>4.290909090909091</v>
      </c>
      <c r="D6" s="17">
        <f t="shared" si="3"/>
        <v>8.4628099173553781E-2</v>
      </c>
      <c r="E6" s="18">
        <f t="shared" si="0"/>
        <v>11.590396802350245</v>
      </c>
      <c r="F6" s="18">
        <f t="shared" si="1"/>
        <v>-3.0085786205320639</v>
      </c>
      <c r="G6" s="16"/>
      <c r="H6" s="17"/>
    </row>
    <row r="7" spans="1:8" x14ac:dyDescent="0.3">
      <c r="A7" s="27">
        <v>5</v>
      </c>
      <c r="B7" s="27">
        <v>13</v>
      </c>
      <c r="C7" s="17">
        <f t="shared" si="2"/>
        <v>5.2303030303030305</v>
      </c>
      <c r="D7" s="17">
        <f t="shared" si="3"/>
        <v>60.368191000918273</v>
      </c>
      <c r="E7" s="18">
        <f t="shared" si="0"/>
        <v>12.529790741744186</v>
      </c>
      <c r="F7" s="18">
        <f t="shared" si="1"/>
        <v>-2.0691846811381245</v>
      </c>
      <c r="G7" s="16"/>
      <c r="H7" s="17"/>
    </row>
    <row r="8" spans="1:8" x14ac:dyDescent="0.3">
      <c r="A8" s="27">
        <v>6</v>
      </c>
      <c r="B8" s="27">
        <v>3</v>
      </c>
      <c r="C8" s="17">
        <f t="shared" si="2"/>
        <v>6.1696969696969708</v>
      </c>
      <c r="D8" s="17">
        <f t="shared" si="3"/>
        <v>10.04697887970616</v>
      </c>
      <c r="E8" s="18">
        <f t="shared" si="0"/>
        <v>13.469184681138126</v>
      </c>
      <c r="F8" s="18">
        <f t="shared" si="1"/>
        <v>-1.1297907417441841</v>
      </c>
      <c r="G8" s="16"/>
      <c r="H8" s="17"/>
    </row>
    <row r="9" spans="1:8" x14ac:dyDescent="0.3">
      <c r="A9" s="27">
        <v>7</v>
      </c>
      <c r="B9" s="27">
        <v>8</v>
      </c>
      <c r="C9" s="17">
        <f t="shared" si="2"/>
        <v>7.1090909090909102</v>
      </c>
      <c r="D9" s="17">
        <f t="shared" si="3"/>
        <v>0.79371900826446073</v>
      </c>
      <c r="E9" s="18">
        <f t="shared" si="0"/>
        <v>14.408578620532065</v>
      </c>
      <c r="F9" s="18">
        <f t="shared" si="1"/>
        <v>-0.1903968023502447</v>
      </c>
      <c r="G9" s="16"/>
      <c r="H9" s="17"/>
    </row>
    <row r="10" spans="1:8" x14ac:dyDescent="0.3">
      <c r="A10" s="27">
        <v>8</v>
      </c>
      <c r="B10" s="27">
        <v>6</v>
      </c>
      <c r="C10" s="17">
        <f t="shared" si="2"/>
        <v>8.0484848484848506</v>
      </c>
      <c r="D10" s="17">
        <f t="shared" si="3"/>
        <v>4.1962901744720016</v>
      </c>
      <c r="E10" s="18">
        <f t="shared" si="0"/>
        <v>15.347972559926006</v>
      </c>
      <c r="F10" s="18">
        <f t="shared" si="1"/>
        <v>0.74899713704369564</v>
      </c>
      <c r="G10" s="16"/>
      <c r="H10" s="17"/>
    </row>
    <row r="11" spans="1:8" x14ac:dyDescent="0.3">
      <c r="A11" s="27">
        <v>9</v>
      </c>
      <c r="B11" s="27">
        <v>9</v>
      </c>
      <c r="C11" s="17">
        <f t="shared" si="2"/>
        <v>8.9878787878787882</v>
      </c>
      <c r="D11" s="17">
        <f t="shared" si="3"/>
        <v>1.4692378328741077E-4</v>
      </c>
      <c r="E11" s="18">
        <f t="shared" si="0"/>
        <v>16.287366499319944</v>
      </c>
      <c r="F11" s="18">
        <f t="shared" si="1"/>
        <v>1.6883910764376333</v>
      </c>
      <c r="G11" s="16"/>
      <c r="H11" s="17"/>
    </row>
    <row r="12" spans="1:8" x14ac:dyDescent="0.3">
      <c r="A12" s="27">
        <v>10</v>
      </c>
      <c r="B12" s="27">
        <v>10</v>
      </c>
      <c r="C12" s="17">
        <f t="shared" si="2"/>
        <v>9.9272727272727295</v>
      </c>
      <c r="D12" s="17">
        <f t="shared" si="3"/>
        <v>5.2892561983467878E-3</v>
      </c>
      <c r="E12" s="18">
        <f t="shared" si="0"/>
        <v>17.226760438713885</v>
      </c>
      <c r="F12" s="18">
        <f t="shared" si="1"/>
        <v>2.6277850158315745</v>
      </c>
      <c r="G12" s="16"/>
      <c r="H12" s="17"/>
    </row>
    <row r="13" spans="1:8" x14ac:dyDescent="0.3">
      <c r="A13" s="16"/>
      <c r="B13" s="16"/>
      <c r="C13" s="22" t="s">
        <v>52</v>
      </c>
      <c r="D13" s="17">
        <f>SUM(D3:D12)</f>
        <v>83.296969696969711</v>
      </c>
      <c r="E13" s="16"/>
      <c r="F13" s="16"/>
      <c r="G13" s="16"/>
      <c r="H13" s="16"/>
    </row>
    <row r="14" spans="1:8" ht="16.2" x14ac:dyDescent="0.3">
      <c r="A14" s="16"/>
      <c r="B14" s="16"/>
      <c r="C14" s="22" t="s">
        <v>53</v>
      </c>
      <c r="D14" s="17">
        <f>D13/(COUNT(B3:B12)-2)</f>
        <v>10.412121212121214</v>
      </c>
      <c r="E14" s="17">
        <f>E15^2</f>
        <v>10.412121212121217</v>
      </c>
      <c r="F14" s="29" t="s">
        <v>118</v>
      </c>
      <c r="G14" s="16"/>
      <c r="H14" s="16"/>
    </row>
    <row r="15" spans="1:8" x14ac:dyDescent="0.3">
      <c r="A15" s="16"/>
      <c r="B15" s="16"/>
      <c r="C15" s="22" t="s">
        <v>117</v>
      </c>
      <c r="D15" s="17">
        <f>SQRT(D14)</f>
        <v>3.2267818662130252</v>
      </c>
      <c r="E15" s="17">
        <f>STEYX(B3:B12,A3:A12)</f>
        <v>3.2267818662130257</v>
      </c>
      <c r="F15" s="29" t="s">
        <v>94</v>
      </c>
      <c r="G15" s="16"/>
      <c r="H15" s="16"/>
    </row>
    <row r="16" spans="1:8" x14ac:dyDescent="0.3">
      <c r="A16" s="16"/>
      <c r="B16" s="16"/>
      <c r="C16" s="16"/>
      <c r="D16" s="16"/>
      <c r="E16" s="17"/>
      <c r="F16" s="19"/>
      <c r="G16" s="16"/>
      <c r="H16" s="16"/>
    </row>
    <row r="17" spans="1:8" x14ac:dyDescent="0.3">
      <c r="A17" s="16"/>
      <c r="B17" s="16"/>
      <c r="C17" s="16"/>
      <c r="D17" s="16"/>
      <c r="G17" s="16"/>
      <c r="H17" s="16"/>
    </row>
    <row r="18" spans="1:8" x14ac:dyDescent="0.3">
      <c r="A18" s="16"/>
      <c r="B18" s="16"/>
      <c r="C18" s="16"/>
      <c r="D18" s="16"/>
      <c r="E18" s="16"/>
      <c r="F18" s="16"/>
      <c r="G18" s="16"/>
      <c r="H18" s="16"/>
    </row>
    <row r="19" spans="1:8" x14ac:dyDescent="0.3">
      <c r="A19" s="16"/>
      <c r="B19" s="16"/>
      <c r="C19" s="16"/>
      <c r="D19" s="16"/>
      <c r="E19" s="16"/>
      <c r="F19" s="16"/>
      <c r="G19" s="16"/>
      <c r="H19" s="16"/>
    </row>
    <row r="20" spans="1:8" x14ac:dyDescent="0.3">
      <c r="A20" s="16"/>
      <c r="B20" s="16"/>
      <c r="C20" s="16"/>
      <c r="D20" s="16"/>
      <c r="E20" s="16"/>
      <c r="F20" s="16"/>
      <c r="G20" s="16"/>
      <c r="H20" s="16"/>
    </row>
    <row r="21" spans="1:8" x14ac:dyDescent="0.3">
      <c r="A21" s="16"/>
      <c r="B21" s="16"/>
      <c r="C21" s="16"/>
      <c r="D21" s="16"/>
      <c r="E21" s="17"/>
      <c r="F21" s="19"/>
      <c r="G21" s="16"/>
      <c r="H21" s="16"/>
    </row>
    <row r="22" spans="1:8" x14ac:dyDescent="0.3">
      <c r="A22" s="16"/>
      <c r="B22" s="16"/>
      <c r="C22" s="16"/>
      <c r="D22" s="16"/>
      <c r="E22" s="17"/>
      <c r="F22" s="19"/>
      <c r="G22" s="16"/>
      <c r="H22" s="16"/>
    </row>
    <row r="23" spans="1:8" x14ac:dyDescent="0.3">
      <c r="A23" s="16"/>
      <c r="B23" s="16"/>
      <c r="C23" s="16"/>
      <c r="D23" s="16"/>
      <c r="E23" s="17"/>
      <c r="F23" s="19"/>
      <c r="G23" s="16"/>
      <c r="H23" s="16"/>
    </row>
    <row r="24" spans="1:8" x14ac:dyDescent="0.3">
      <c r="A24" s="16"/>
      <c r="B24" s="16"/>
      <c r="C24" s="16"/>
      <c r="D24" s="16"/>
      <c r="E24" s="17"/>
      <c r="F24" s="19"/>
      <c r="G24" s="16"/>
      <c r="H24" s="1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6.1.1-4</vt:lpstr>
      <vt:lpstr>6.2.1</vt:lpstr>
      <vt:lpstr>6.3.1-5</vt:lpstr>
      <vt:lpstr>6.3.6-9</vt:lpstr>
      <vt:lpstr>6.5.7</vt:lpstr>
      <vt:lpstr>6.5.8-9</vt:lpstr>
      <vt:lpstr>6.6.1.1-5</vt:lpstr>
      <vt:lpstr>6.6.3.2-5</vt:lpstr>
      <vt:lpstr>6.6.4.1-2</vt:lpstr>
      <vt:lpstr>6.6.5.1-5</vt:lpstr>
      <vt:lpstr>6.6.6.1-3</vt:lpstr>
      <vt:lpstr>6.7.1-3</vt:lpstr>
      <vt:lpstr>6.7.4, 6.7.2.1-2</vt:lpstr>
      <vt:lpstr>6.7.5</vt:lpstr>
      <vt:lpstr>6.7.1.4-9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</dc:creator>
  <cp:lastModifiedBy>branko</cp:lastModifiedBy>
  <dcterms:created xsi:type="dcterms:W3CDTF">2010-01-13T01:59:07Z</dcterms:created>
  <dcterms:modified xsi:type="dcterms:W3CDTF">2016-12-01T15:10:59Z</dcterms:modified>
</cp:coreProperties>
</file>